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0" yWindow="6529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<sst xmlns="http://schemas.openxmlformats.org/spreadsheetml/2006/main" count="168" uniqueCount="113">
  <si>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</si>
  <si>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</si>
  <si>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</si>
  <si>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</si>
  <si>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</si>
  <si>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</si>
  <si>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</si>
  <si>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</si>
  <si>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</si>
  <si>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</si>
  <si>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</si>
  <si>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</si>
  <si>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</si>
  <si>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</si>
  <si>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</si>
  <si>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</si>
  <si>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</si>
  <si>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</si>
  <si>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</si>
  <si>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</si>
  <si>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</si>
  <si>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</si>
  <si>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</si>
  <si>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</si>
  <si>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</si>
  <si>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</si>
  <si>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</si>
  <si>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</si>
  <si>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</si>
  <si>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</si>
  <si>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</si>
  <si>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</si>
  <si>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</si>
  <si>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</si>
  <si>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</si>
  <si>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</si>
  <si>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</si>
  <si>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</si>
  <si>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</si>
  <si>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</si>
  <si>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</si>
  <si>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</si>
  <si>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</si>
  <si>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</si>
  <si>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</si>
  <si>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</si>
  <si>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</si>
  <si>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</si>
  <si>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</si>
  <si>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</si>
  <si>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</si>
  <si>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</si>
  <si>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</si>
  <si>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</si>
  <si>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</si>
  <si>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</si>
  <si>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</si>
  <si>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</si>
  <si>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</si>
  <si>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</si>
  <si>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</si>
  <si>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</si>
  <si>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</si>
  <si>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</si>
  <si>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</si>
  <si>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</si>
  <si>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</si>
  <si>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</si>
  <si>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</si>
  <si>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</si>
  <si>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</si>
  <si>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</si>
  <si>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</si>
  <si>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</si>
  <si>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</si>
  <si>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</si>
  <si>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</si>
  <si>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</si>
  <si>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</si>
  <si>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</si>
  <si>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</si>
  <si>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</si>
  <si>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</si>
  <si>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</si>
  <si>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</si>
  <si>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</si>
  <si>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</si>
  <si>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</si>
  <si>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</si>
  <si>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</si>
  <si>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</si>
  <si>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</si>
  <si>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</si>
  <si>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</si>
  <si>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</si>
  <si>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</si>
  <si>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</si>
  <si>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</si>
  <si>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</si>
  <si>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</si>
  <si>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</si>
  <si>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</si>
  <si>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</si>
  <si>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</si>
  <si>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</si>
  <si>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</si>
  <si>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</si>
  <si>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</si>
  <si>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</si>
  <si>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План на 8 місяців тис.грн.</t>
  </si>
  <si>
    <t>Відхилення від  плану 8 місяців, тис.грн.</t>
  </si>
  <si>
    <t>Відсоток виконання  плану 8 місяців</t>
  </si>
  <si>
    <t>Аналіз використання коштів загального фонду міського бюджету станом на 27.08.2019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</si>
</sst>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0" fillId="33" borderId="0" xfId="0" applyNumberFormat="1" applyFont="1" applyFill="1" applyAlignment="1">
      <alignment/>
    </xf>
    <xf numFmtId="190" fontId="5" fillId="35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/>
    </xf>
    <xf numFmtId="190" fontId="5" fillId="0" borderId="12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35" borderId="12" xfId="0" applyNumberFormat="1" applyFont="1" applyFill="1" applyBorder="1" applyAlignment="1">
      <alignment wrapText="1"/>
    </xf>
    <xf numFmtId="0" fontId="5" fillId="36" borderId="0" xfId="0" applyFont="1" applyFill="1" applyAlignment="1">
      <alignment/>
    </xf>
    <xf numFmtId="0" fontId="5" fillId="35" borderId="10" xfId="0" applyFont="1" applyFill="1" applyBorder="1" applyAlignment="1">
      <alignment wrapText="1"/>
    </xf>
    <xf numFmtId="190" fontId="5" fillId="35" borderId="10" xfId="0" applyNumberFormat="1" applyFont="1" applyFill="1" applyBorder="1" applyAlignment="1">
      <alignment/>
    </xf>
    <xf numFmtId="190" fontId="5" fillId="35" borderId="17" xfId="0" applyNumberFormat="1" applyFont="1" applyFill="1" applyBorder="1" applyAlignment="1">
      <alignment/>
    </xf>
    <xf numFmtId="189" fontId="5" fillId="35" borderId="10" xfId="0" applyNumberFormat="1" applyFont="1" applyFill="1" applyBorder="1" applyAlignment="1">
      <alignment/>
    </xf>
    <xf numFmtId="189" fontId="4" fillId="35" borderId="10" xfId="0" applyNumberFormat="1" applyFont="1" applyFill="1" applyBorder="1" applyAlignment="1">
      <alignment/>
    </xf>
    <xf numFmtId="190" fontId="4" fillId="35" borderId="1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190" fontId="5" fillId="35" borderId="0" xfId="0" applyNumberFormat="1" applyFont="1" applyFill="1" applyAlignment="1">
      <alignment/>
    </xf>
    <xf numFmtId="190" fontId="3" fillId="35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89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217222.3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136883.69999999998</c:v>
                </c:pt>
              </c:numCache>
            </c:numRef>
          </c:val>
          <c:shape val="box"/>
        </c:ser>
        <c:shape val="box"/>
        <c:axId val="29081621"/>
        <c:axId val="60407998"/>
      </c:bar3DChart>
      <c:catAx>
        <c:axId val="29081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07998"/>
        <c:crosses val="autoZero"/>
        <c:auto val="1"/>
        <c:lblOffset val="100"/>
        <c:tickLblSkip val="1"/>
        <c:noMultiLvlLbl val="0"/>
      </c:catAx>
      <c:valAx>
        <c:axId val="60407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816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1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65"/>
          <c:w val="0.8435"/>
          <c:h val="0.71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921938.2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582128.3</c:v>
                </c:pt>
              </c:numCache>
            </c:numRef>
          </c:val>
          <c:shape val="box"/>
        </c:ser>
        <c:shape val="box"/>
        <c:axId val="6801071"/>
        <c:axId val="61209640"/>
      </c:bar3DChart>
      <c:catAx>
        <c:axId val="6801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209640"/>
        <c:crosses val="autoZero"/>
        <c:auto val="1"/>
        <c:lblOffset val="100"/>
        <c:tickLblSkip val="1"/>
        <c:noMultiLvlLbl val="0"/>
      </c:catAx>
      <c:valAx>
        <c:axId val="61209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010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195"/>
          <c:w val="0.9295"/>
          <c:h val="0.6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418456.4000000001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264805.83699999994</c:v>
                </c:pt>
              </c:numCache>
            </c:numRef>
          </c:val>
          <c:shape val="box"/>
        </c:ser>
        <c:shape val="box"/>
        <c:axId val="14015849"/>
        <c:axId val="59033778"/>
      </c:bar3DChart>
      <c:catAx>
        <c:axId val="14015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33778"/>
        <c:crosses val="autoZero"/>
        <c:auto val="1"/>
        <c:lblOffset val="100"/>
        <c:tickLblSkip val="1"/>
        <c:noMultiLvlLbl val="0"/>
      </c:catAx>
      <c:valAx>
        <c:axId val="59033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158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27234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16165.099999999999</c:v>
                </c:pt>
              </c:numCache>
            </c:numRef>
          </c:val>
          <c:shape val="box"/>
        </c:ser>
        <c:shape val="box"/>
        <c:axId val="61541955"/>
        <c:axId val="17006684"/>
      </c:bar3DChart>
      <c:catAx>
        <c:axId val="61541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06684"/>
        <c:crosses val="autoZero"/>
        <c:auto val="1"/>
        <c:lblOffset val="100"/>
        <c:tickLblSkip val="1"/>
        <c:noMultiLvlLbl val="0"/>
      </c:catAx>
      <c:valAx>
        <c:axId val="17006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419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"/>
          <c:w val="0.8635"/>
          <c:h val="0.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51453.8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27829.700000000008</c:v>
                </c:pt>
              </c:numCache>
            </c:numRef>
          </c:val>
          <c:shape val="box"/>
        </c:ser>
        <c:shape val="box"/>
        <c:axId val="18842429"/>
        <c:axId val="35364134"/>
      </c:bar3DChart>
      <c:catAx>
        <c:axId val="18842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364134"/>
        <c:crosses val="autoZero"/>
        <c:auto val="1"/>
        <c:lblOffset val="100"/>
        <c:tickLblSkip val="2"/>
        <c:noMultiLvlLbl val="0"/>
      </c:catAx>
      <c:valAx>
        <c:axId val="353641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424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175"/>
          <c:w val="0.8775"/>
          <c:h val="0.68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6911.599999999998</c:v>
                </c:pt>
              </c:numCache>
            </c:numRef>
          </c:val>
          <c:shape val="box"/>
        </c:ser>
        <c:shape val="box"/>
        <c:axId val="49841751"/>
        <c:axId val="45922576"/>
      </c:bar3DChart>
      <c:catAx>
        <c:axId val="49841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922576"/>
        <c:crosses val="autoZero"/>
        <c:auto val="1"/>
        <c:lblOffset val="100"/>
        <c:tickLblSkip val="1"/>
        <c:noMultiLvlLbl val="0"/>
      </c:catAx>
      <c:valAx>
        <c:axId val="45922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417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25"/>
          <c:w val="0.85275"/>
          <c:h val="0.72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133579.1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65967.19999999998</c:v>
                </c:pt>
              </c:numCache>
            </c:numRef>
          </c:val>
          <c:shape val="box"/>
        </c:ser>
        <c:shape val="box"/>
        <c:axId val="10650001"/>
        <c:axId val="28741146"/>
      </c:bar3DChart>
      <c:catAx>
        <c:axId val="10650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741146"/>
        <c:crosses val="autoZero"/>
        <c:auto val="1"/>
        <c:lblOffset val="100"/>
        <c:tickLblSkip val="1"/>
        <c:noMultiLvlLbl val="0"/>
      </c:catAx>
      <c:valAx>
        <c:axId val="28741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500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625"/>
          <c:w val="0.85125"/>
          <c:h val="0.5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921938.2</c:v>
                </c:pt>
                <c:pt idx="1">
                  <c:v>418456.4000000001</c:v>
                </c:pt>
                <c:pt idx="2">
                  <c:v>27234</c:v>
                </c:pt>
                <c:pt idx="3">
                  <c:v>51453.8</c:v>
                </c:pt>
                <c:pt idx="4">
                  <c:v>8853.9</c:v>
                </c:pt>
                <c:pt idx="5">
                  <c:v>217222.3</c:v>
                </c:pt>
                <c:pt idx="6">
                  <c:v>133579.1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582128.3</c:v>
                </c:pt>
                <c:pt idx="1">
                  <c:v>264805.83699999994</c:v>
                </c:pt>
                <c:pt idx="2">
                  <c:v>16165.099999999999</c:v>
                </c:pt>
                <c:pt idx="3">
                  <c:v>27829.700000000008</c:v>
                </c:pt>
                <c:pt idx="4">
                  <c:v>6911.599999999998</c:v>
                </c:pt>
                <c:pt idx="5">
                  <c:v>136883.69999999998</c:v>
                </c:pt>
                <c:pt idx="6">
                  <c:v>65967.19999999998</c:v>
                </c:pt>
              </c:numCache>
            </c:numRef>
          </c:val>
          <c:shape val="box"/>
        </c:ser>
        <c:shape val="box"/>
        <c:axId val="57343723"/>
        <c:axId val="46331460"/>
      </c:bar3DChart>
      <c:catAx>
        <c:axId val="57343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331460"/>
        <c:crosses val="autoZero"/>
        <c:auto val="1"/>
        <c:lblOffset val="100"/>
        <c:tickLblSkip val="1"/>
        <c:noMultiLvlLbl val="0"/>
      </c:catAx>
      <c:valAx>
        <c:axId val="46331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437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7975"/>
          <c:w val="0.84125"/>
          <c:h val="0.4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995482.1</c:v>
                </c:pt>
                <c:pt idx="1">
                  <c:v>125217.3</c:v>
                </c:pt>
                <c:pt idx="2">
                  <c:v>48087.700000000004</c:v>
                </c:pt>
                <c:pt idx="3">
                  <c:v>87421.40000000002</c:v>
                </c:pt>
                <c:pt idx="4">
                  <c:v>122.9</c:v>
                </c:pt>
                <c:pt idx="5">
                  <c:v>1251651.2000000002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652444.2000000001</c:v>
                </c:pt>
                <c:pt idx="1">
                  <c:v>64340.19999999996</c:v>
                </c:pt>
                <c:pt idx="2">
                  <c:v>28351.800000000003</c:v>
                </c:pt>
                <c:pt idx="3">
                  <c:v>51462.86000000001</c:v>
                </c:pt>
                <c:pt idx="4">
                  <c:v>38.49999999999999</c:v>
                </c:pt>
                <c:pt idx="5">
                  <c:v>746668.7967899998</c:v>
                </c:pt>
              </c:numCache>
            </c:numRef>
          </c:val>
          <c:shape val="box"/>
        </c:ser>
        <c:shape val="box"/>
        <c:axId val="14329957"/>
        <c:axId val="61860750"/>
      </c:bar3DChart>
      <c:catAx>
        <c:axId val="14329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860750"/>
        <c:crosses val="autoZero"/>
        <c:auto val="1"/>
        <c:lblOffset val="100"/>
        <c:tickLblSkip val="1"/>
        <c:noMultiLvlLbl val="0"/>
      </c:catAx>
      <c:valAx>
        <c:axId val="618607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299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B15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5" sqref="D35"/>
    </sheetView>
  </sheetViews>
  <sheetFormatPr defaultColWidth="9.00390625" defaultRowHeight="12.75"/>
  <cols>
    <col min="1" max="1" width="66.875" style="122" customWidth="1"/>
    <col min="2" max="2" width="19.00390625" style="122" customWidth="1"/>
    <col min="3" max="3" width="18.75390625" style="123" customWidth="1"/>
    <col min="4" max="4" width="19.00390625" style="123" customWidth="1"/>
    <col min="5" max="5" width="17.25390625" style="123" customWidth="1"/>
    <col min="6" max="7" width="19.375" style="123" customWidth="1"/>
    <col min="8" max="8" width="19.75390625" style="123" customWidth="1"/>
    <col min="9" max="9" width="21.00390625" style="123" customWidth="1"/>
    <col min="10" max="10" width="9.125" style="123" customWidth="1"/>
    <col min="11" max="11" width="15.375" style="123" customWidth="1"/>
    <col min="12" max="12" width="13.625" style="123" customWidth="1"/>
    <col min="13" max="13" width="11.375" style="123" bestFit="1" customWidth="1"/>
    <col min="14" max="16384" width="9.125" style="123" customWidth="1"/>
  </cols>
  <sheetData>
    <row r="1" spans="1:9" ht="30">
      <c r="A1" s="167" t="s">
        <v>112</v>
      </c>
      <c r="B1" s="167"/>
      <c r="C1" s="167"/>
      <c r="D1" s="167"/>
      <c r="E1" s="167"/>
      <c r="F1" s="167"/>
      <c r="G1" s="167"/>
      <c r="H1" s="167"/>
      <c r="I1" s="167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8" t="s">
        <v>38</v>
      </c>
      <c r="B3" s="171" t="s">
        <v>109</v>
      </c>
      <c r="C3" s="174" t="s">
        <v>103</v>
      </c>
      <c r="D3" s="174" t="s">
        <v>20</v>
      </c>
      <c r="E3" s="174" t="s">
        <v>19</v>
      </c>
      <c r="F3" s="174" t="s">
        <v>111</v>
      </c>
      <c r="G3" s="174" t="s">
        <v>105</v>
      </c>
      <c r="H3" s="174" t="s">
        <v>110</v>
      </c>
      <c r="I3" s="174" t="s">
        <v>104</v>
      </c>
    </row>
    <row r="4" spans="1:9" ht="24.75" customHeight="1">
      <c r="A4" s="169"/>
      <c r="B4" s="172"/>
      <c r="C4" s="175"/>
      <c r="D4" s="175"/>
      <c r="E4" s="175"/>
      <c r="F4" s="175"/>
      <c r="G4" s="175"/>
      <c r="H4" s="175"/>
      <c r="I4" s="175"/>
    </row>
    <row r="5" spans="1:10" ht="39" customHeight="1" thickBot="1">
      <c r="A5" s="170"/>
      <c r="B5" s="173"/>
      <c r="C5" s="176"/>
      <c r="D5" s="176"/>
      <c r="E5" s="176"/>
      <c r="F5" s="176"/>
      <c r="G5" s="176"/>
      <c r="H5" s="176"/>
      <c r="I5" s="176"/>
      <c r="J5" s="128"/>
    </row>
    <row r="6" spans="1:12" ht="18.75" thickBot="1">
      <c r="A6" s="18" t="s">
        <v>24</v>
      </c>
      <c r="B6" s="34">
        <f>579162.3-150.8+52205.4-1300-900</f>
        <v>629016.9</v>
      </c>
      <c r="C6" s="35">
        <f>913995.7+3.2+21.3+6054.6-0.1+7.6+51.9+2.3+1801.7</f>
        <v>921938.2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+22012.8+800.8+1283.3+847.7+4031.4+64.1+956.3+88.2+636.8+447.5+21.9+5.4+5305.9+671.5+4657.2+609.8+171.5+5+396+511.7+37+88.3+0.2+292.1+11209.7+764+1.9+75.1-5.3+32.8+2+270.5+114.3+353.9+464.1+121.8+118.4+8521.6+2964.3+439.8+85.9+464.2+188.6+56.8+478.9+24.5+727.8+15496+9928.2</f>
        <v>582128.3</v>
      </c>
      <c r="E6" s="3">
        <f>D6/D156*100</f>
        <v>37.71955564355983</v>
      </c>
      <c r="F6" s="3">
        <f>D6/B6*100</f>
        <v>92.54573287299594</v>
      </c>
      <c r="G6" s="3">
        <f aca="true" t="shared" si="0" ref="G6:G43">D6/C6*100</f>
        <v>63.14179193355911</v>
      </c>
      <c r="H6" s="36">
        <f aca="true" t="shared" si="1" ref="H6:H12">B6-D6</f>
        <v>46888.59999999998</v>
      </c>
      <c r="I6" s="36">
        <f aca="true" t="shared" si="2" ref="I6:I43">C6-D6</f>
        <v>339809.8999999999</v>
      </c>
      <c r="J6" s="128"/>
      <c r="L6" s="129">
        <f>H6-H7</f>
        <v>34028.399999999994</v>
      </c>
    </row>
    <row r="7" spans="1:9" s="83" customFormat="1" ht="18.75">
      <c r="A7" s="118" t="s">
        <v>79</v>
      </c>
      <c r="B7" s="69">
        <f>196242.1+19125.4</f>
        <v>215367.5</v>
      </c>
      <c r="C7" s="66">
        <f>298956.2+3.2</f>
        <v>298959.4</v>
      </c>
      <c r="D7" s="71">
        <f>12060.7+9623.1+1044.7+273.5+10510.2+12398.6+40.7+10550.7+12514+8.7+10597.9+12396.7+14.3-11.2+14.3+10532.6+25726.8+2302.2+41728.4+13.4+10871.6+847.7+4031.4+88.2+671.5+0.1+764+2964.3+9928.2</f>
        <v>202507.30000000002</v>
      </c>
      <c r="E7" s="120">
        <f>D7/D6*100</f>
        <v>34.787399959768315</v>
      </c>
      <c r="F7" s="120">
        <f>D7/B7*100</f>
        <v>94.02871835351203</v>
      </c>
      <c r="G7" s="120">
        <f>D7/C7*100</f>
        <v>67.73739176623982</v>
      </c>
      <c r="H7" s="119">
        <f t="shared" si="1"/>
        <v>12860.199999999983</v>
      </c>
      <c r="I7" s="119">
        <f t="shared" si="2"/>
        <v>96452.1</v>
      </c>
    </row>
    <row r="8" spans="1:9" s="128" customFormat="1" ht="18">
      <c r="A8" s="88" t="s">
        <v>3</v>
      </c>
      <c r="B8" s="31">
        <v>506246.9</v>
      </c>
      <c r="C8" s="32">
        <f>726684.4+3.2+2754.6</f>
        <v>729442.2</v>
      </c>
      <c r="D8" s="33">
        <f>20722.3+1.9+16592.9+1044.7+15069.2+2403.3+273.5+14243.2+10510.2+12398.6+19789.8+60.7+23573.1+21765.1+12514+5.3+4.8+8.7+13704.4+10597.9+33709.4+39.5+14.3+10532.6+12547.2+25798.9+25726.8+2302.2+162.1+18657.4+41728.4+3346.3+13.4+4.5+10871.6+15709.6+21507.2+1107.9+847.7+4031.4+88.2+42.4+5282.4+671.5+4513.4+0.1+9.2+764+10958.3+75.1-5.3+5.3+26.6-0.1+7961.1+2964.3+2.9+9928.2+15219.3</f>
        <v>482448.9000000001</v>
      </c>
      <c r="E8" s="92">
        <f>D8/D6*100</f>
        <v>82.87673009541024</v>
      </c>
      <c r="F8" s="92">
        <f>D8/B8*100</f>
        <v>95.2991317082633</v>
      </c>
      <c r="G8" s="92">
        <f t="shared" si="0"/>
        <v>66.13942818224668</v>
      </c>
      <c r="H8" s="90">
        <f t="shared" si="1"/>
        <v>23797.99999999994</v>
      </c>
      <c r="I8" s="90">
        <f t="shared" si="2"/>
        <v>246993.29999999987</v>
      </c>
    </row>
    <row r="9" spans="1:9" s="128" customFormat="1" ht="18">
      <c r="A9" s="88" t="s">
        <v>2</v>
      </c>
      <c r="B9" s="31">
        <v>51.7</v>
      </c>
      <c r="C9" s="32">
        <v>104.9</v>
      </c>
      <c r="D9" s="33">
        <f>16.3+0.9+0.3+8.7+9.7+0.3+0.4+0.4+0.1+0.5</f>
        <v>37.599999999999994</v>
      </c>
      <c r="E9" s="109">
        <f>D9/D6*100</f>
        <v>0.006459057221578129</v>
      </c>
      <c r="F9" s="92">
        <f>D9/B9*100</f>
        <v>72.7272727272727</v>
      </c>
      <c r="G9" s="92">
        <f t="shared" si="0"/>
        <v>35.84366062917063</v>
      </c>
      <c r="H9" s="90">
        <f t="shared" si="1"/>
        <v>14.100000000000009</v>
      </c>
      <c r="I9" s="90">
        <f t="shared" si="2"/>
        <v>67.30000000000001</v>
      </c>
    </row>
    <row r="10" spans="1:9" s="128" customFormat="1" ht="18">
      <c r="A10" s="88" t="s">
        <v>1</v>
      </c>
      <c r="B10" s="31">
        <f>26997.6+1503.2</f>
        <v>28500.8</v>
      </c>
      <c r="C10" s="32">
        <v>43439.8</v>
      </c>
      <c r="D10" s="152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+339.3+1.2+0.2+23.1+10+147.3+70.5+98.6+30.1+82.9-0.2+2.1+2.7+199.7+0.1+35.4+373.2+108.8+246.5+178.4+81.5</f>
        <v>26208</v>
      </c>
      <c r="E10" s="92">
        <f>D10/D6*100</f>
        <v>4.502100310189351</v>
      </c>
      <c r="F10" s="92">
        <f aca="true" t="shared" si="3" ref="F10:F41">D10/B10*100</f>
        <v>91.95531353505866</v>
      </c>
      <c r="G10" s="92">
        <f t="shared" si="0"/>
        <v>60.331769483284916</v>
      </c>
      <c r="H10" s="90">
        <f t="shared" si="1"/>
        <v>2292.7999999999993</v>
      </c>
      <c r="I10" s="90">
        <f t="shared" si="2"/>
        <v>17231.800000000003</v>
      </c>
    </row>
    <row r="11" spans="1:9" s="128" customFormat="1" ht="18">
      <c r="A11" s="88" t="s">
        <v>0</v>
      </c>
      <c r="B11" s="31">
        <f>61585.5-1300-900</f>
        <v>59385.5</v>
      </c>
      <c r="C11" s="32">
        <f>98224.3+33+0.3</f>
        <v>98257.6</v>
      </c>
      <c r="D11" s="3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+51.3+0.3-0.1+114.6+64.1+132.3+525.1+375.5+21.9+9+29.3+19.6+2.4+18.2+18.7+0.5+0.2+37.3+61.1+0.1+27.5+1.1+229.4+24.7+62.2+30.6-1.5+13.6+174.1+44.5+28+15.9+0.6+3.7+0.6+2.5+0.3</f>
        <v>50275.59999999996</v>
      </c>
      <c r="E11" s="92">
        <f>D11/D6*100</f>
        <v>8.636515352371626</v>
      </c>
      <c r="F11" s="92">
        <f t="shared" si="3"/>
        <v>84.65972333313681</v>
      </c>
      <c r="G11" s="92">
        <f t="shared" si="0"/>
        <v>51.16713618081447</v>
      </c>
      <c r="H11" s="90">
        <f t="shared" si="1"/>
        <v>9109.900000000038</v>
      </c>
      <c r="I11" s="90">
        <f t="shared" si="2"/>
        <v>47982.000000000044</v>
      </c>
    </row>
    <row r="12" spans="1:9" s="128" customFormat="1" ht="18">
      <c r="A12" s="88" t="s">
        <v>12</v>
      </c>
      <c r="B12" s="31">
        <v>8350.8</v>
      </c>
      <c r="C12" s="32">
        <f>13016.5-27.3-2+2.3</f>
        <v>12989.5</v>
      </c>
      <c r="D12" s="33">
        <f>134.7+863.6+21+169+134.3+503.1+242.3+376.7+419.7+11.5+196.3+194.7+350.5+128.8+306+205.9+21+475.1+46.1+265+1+11.5+502+21+253.6+228.1+113.2+114.8+47.7+65.2+24.1+347.4-0.1+12+0.1+64.7+236.2+116+84.5</f>
        <v>7308.3</v>
      </c>
      <c r="E12" s="92">
        <f>D12/D6*100</f>
        <v>1.2554448907569</v>
      </c>
      <c r="F12" s="92">
        <f t="shared" si="3"/>
        <v>87.51616611582125</v>
      </c>
      <c r="G12" s="92">
        <f t="shared" si="0"/>
        <v>56.26313560953078</v>
      </c>
      <c r="H12" s="90">
        <f t="shared" si="1"/>
        <v>1042.499999999999</v>
      </c>
      <c r="I12" s="90">
        <f t="shared" si="2"/>
        <v>5681.2</v>
      </c>
    </row>
    <row r="13" spans="1:9" s="128" customFormat="1" ht="18.75" thickBot="1">
      <c r="A13" s="88" t="s">
        <v>25</v>
      </c>
      <c r="B13" s="32">
        <f>B6-B8-B9-B10-B11-B12</f>
        <v>26481.2</v>
      </c>
      <c r="C13" s="32">
        <f>C6-C8-C9-C10-C11-C12</f>
        <v>37704.19999999998</v>
      </c>
      <c r="D13" s="32">
        <f>D6-D8-D9-D10-D11-D12</f>
        <v>15849.899999999998</v>
      </c>
      <c r="E13" s="92">
        <f>D13/D6*100</f>
        <v>2.722750294050297</v>
      </c>
      <c r="F13" s="92">
        <f t="shared" si="3"/>
        <v>59.853405434799015</v>
      </c>
      <c r="G13" s="92">
        <f t="shared" si="0"/>
        <v>42.03749184440992</v>
      </c>
      <c r="H13" s="90">
        <f aca="true" t="shared" si="4" ref="H13:H44">B13-D13</f>
        <v>10631.300000000003</v>
      </c>
      <c r="I13" s="90">
        <f t="shared" si="2"/>
        <v>21854.299999999985</v>
      </c>
    </row>
    <row r="14" spans="1:10" s="29" customFormat="1" ht="18.75" customHeight="1" hidden="1">
      <c r="A14" s="68" t="s">
        <v>59</v>
      </c>
      <c r="B14" s="66"/>
      <c r="C14" s="66"/>
      <c r="D14" s="66"/>
      <c r="E14" s="67"/>
      <c r="F14" s="67" t="e">
        <f>D14/B14*100</f>
        <v>#DIV/0!</v>
      </c>
      <c r="G14" s="67" t="e">
        <f>D14/C14*100</f>
        <v>#DIV/0!</v>
      </c>
      <c r="H14" s="90">
        <f t="shared" si="4"/>
        <v>0</v>
      </c>
      <c r="I14" s="71">
        <f>C14-D14</f>
        <v>0</v>
      </c>
      <c r="J14" s="83"/>
    </row>
    <row r="15" spans="1:10" s="29" customFormat="1" ht="18.75" customHeight="1" hidden="1">
      <c r="A15" s="68" t="s">
        <v>56</v>
      </c>
      <c r="B15" s="66"/>
      <c r="C15" s="66"/>
      <c r="D15" s="66"/>
      <c r="E15" s="67"/>
      <c r="F15" s="67" t="e">
        <f>D15/B15*100</f>
        <v>#DIV/0!</v>
      </c>
      <c r="G15" s="67" t="e">
        <f>D15/C15*100</f>
        <v>#DIV/0!</v>
      </c>
      <c r="H15" s="90">
        <f t="shared" si="4"/>
        <v>0</v>
      </c>
      <c r="I15" s="71">
        <f>C15-D15</f>
        <v>0</v>
      </c>
      <c r="J15" s="83"/>
    </row>
    <row r="16" spans="1:10" s="29" customFormat="1" ht="19.5" hidden="1" thickBot="1">
      <c r="A16" s="68" t="s">
        <v>57</v>
      </c>
      <c r="B16" s="66"/>
      <c r="C16" s="66"/>
      <c r="D16" s="66"/>
      <c r="E16" s="67"/>
      <c r="F16" s="67" t="e">
        <f>D16/B16*100</f>
        <v>#DIV/0!</v>
      </c>
      <c r="G16" s="67" t="e">
        <f>D16/C16*100</f>
        <v>#DIV/0!</v>
      </c>
      <c r="H16" s="90">
        <f t="shared" si="4"/>
        <v>0</v>
      </c>
      <c r="I16" s="71">
        <f>C16-D16</f>
        <v>0</v>
      </c>
      <c r="J16" s="83"/>
    </row>
    <row r="17" spans="1:10" s="29" customFormat="1" ht="19.5" hidden="1" thickBot="1">
      <c r="A17" s="68" t="s">
        <v>58</v>
      </c>
      <c r="B17" s="66"/>
      <c r="C17" s="66"/>
      <c r="D17" s="66"/>
      <c r="E17" s="67"/>
      <c r="F17" s="67" t="e">
        <f>D17/B17*100</f>
        <v>#DIV/0!</v>
      </c>
      <c r="G17" s="67" t="e">
        <f>D17/C17*100</f>
        <v>#DIV/0!</v>
      </c>
      <c r="H17" s="90">
        <f t="shared" si="4"/>
        <v>0</v>
      </c>
      <c r="I17" s="71">
        <f>C17-D17</f>
        <v>0</v>
      </c>
      <c r="J17" s="83"/>
    </row>
    <row r="18" spans="1:12" ht="18.75" thickBot="1">
      <c r="A18" s="18" t="s">
        <v>17</v>
      </c>
      <c r="B18" s="34">
        <f>284941.3-3772.4-400-431.4-3379.2</f>
        <v>276958.29999999993</v>
      </c>
      <c r="C18" s="35">
        <f>417020.2+71.9+897.7-0.1-33.9+680.4+0.2-180</f>
        <v>418456.4000000001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+7281+1150+954.5+699.4+0.9+64.6+1017.2+6668.8+996.5+3982.6+65.4+153.4+595.6+38.8+31.9-0.1+9076.7+4026.8+3514.7+46.2+183.1+37.2+4.7+92.3+1.1+222.7+454.5+924.7+0.1+4+304.2+10179.7+920.9+874+33.9+4.7+51.8+8765.4+4749.4+2352.3+246.8</f>
        <v>264805.83699999994</v>
      </c>
      <c r="E18" s="3">
        <f>D18/D156*100</f>
        <v>17.158345511566665</v>
      </c>
      <c r="F18" s="3">
        <f>D18/B18*100</f>
        <v>95.61216869109899</v>
      </c>
      <c r="G18" s="3">
        <f t="shared" si="0"/>
        <v>63.281583696652724</v>
      </c>
      <c r="H18" s="149">
        <f t="shared" si="4"/>
        <v>12152.462999999989</v>
      </c>
      <c r="I18" s="36">
        <f t="shared" si="2"/>
        <v>153650.56300000014</v>
      </c>
      <c r="J18" s="128"/>
      <c r="L18" s="129">
        <f>H18-H19</f>
        <v>11186.199999999983</v>
      </c>
    </row>
    <row r="19" spans="1:9" s="83" customFormat="1" ht="18.75">
      <c r="A19" s="118" t="s">
        <v>80</v>
      </c>
      <c r="B19" s="69">
        <v>136804.3</v>
      </c>
      <c r="C19" s="66">
        <f>204458.2+897.7+0.2</f>
        <v>205356.10000000003</v>
      </c>
      <c r="D19" s="71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+1150+699.4+0.9+6668.8+3982.6+595.6+38.8+31.9-0.2+4026.8+37.2+924.7+10179.7+33.9+4749.4+246.8</f>
        <v>135838.03699999998</v>
      </c>
      <c r="E19" s="120">
        <f>D19/D18*100</f>
        <v>51.297221594099526</v>
      </c>
      <c r="F19" s="120">
        <f t="shared" si="3"/>
        <v>99.29368959893804</v>
      </c>
      <c r="G19" s="120">
        <f t="shared" si="0"/>
        <v>66.14755393192604</v>
      </c>
      <c r="H19" s="119">
        <f t="shared" si="4"/>
        <v>966.2630000000063</v>
      </c>
      <c r="I19" s="119">
        <f t="shared" si="2"/>
        <v>69518.06300000005</v>
      </c>
    </row>
    <row r="20" spans="1:9" s="128" customFormat="1" ht="18" hidden="1">
      <c r="A20" s="88" t="s">
        <v>5</v>
      </c>
      <c r="B20" s="31"/>
      <c r="C20" s="32"/>
      <c r="D20" s="33"/>
      <c r="E20" s="92">
        <f>D20/D18*100</f>
        <v>0</v>
      </c>
      <c r="F20" s="92" t="e">
        <f t="shared" si="3"/>
        <v>#DIV/0!</v>
      </c>
      <c r="G20" s="92" t="e">
        <f t="shared" si="0"/>
        <v>#DIV/0!</v>
      </c>
      <c r="H20" s="90">
        <f t="shared" si="4"/>
        <v>0</v>
      </c>
      <c r="I20" s="90">
        <f t="shared" si="2"/>
        <v>0</v>
      </c>
    </row>
    <row r="21" spans="1:9" s="128" customFormat="1" ht="18" hidden="1">
      <c r="A21" s="88" t="s">
        <v>2</v>
      </c>
      <c r="B21" s="31"/>
      <c r="C21" s="32"/>
      <c r="D21" s="33"/>
      <c r="E21" s="92">
        <f>D21/D18*100</f>
        <v>0</v>
      </c>
      <c r="F21" s="92" t="e">
        <f t="shared" si="3"/>
        <v>#DIV/0!</v>
      </c>
      <c r="G21" s="92" t="e">
        <f t="shared" si="0"/>
        <v>#DIV/0!</v>
      </c>
      <c r="H21" s="90">
        <f t="shared" si="4"/>
        <v>0</v>
      </c>
      <c r="I21" s="90">
        <f t="shared" si="2"/>
        <v>0</v>
      </c>
    </row>
    <row r="22" spans="1:9" s="128" customFormat="1" ht="18" hidden="1">
      <c r="A22" s="88" t="s">
        <v>1</v>
      </c>
      <c r="B22" s="31"/>
      <c r="C22" s="32"/>
      <c r="D22" s="33"/>
      <c r="E22" s="92">
        <f>D22/D18*100</f>
        <v>0</v>
      </c>
      <c r="F22" s="92" t="e">
        <f t="shared" si="3"/>
        <v>#DIV/0!</v>
      </c>
      <c r="G22" s="92" t="e">
        <f t="shared" si="0"/>
        <v>#DIV/0!</v>
      </c>
      <c r="H22" s="90">
        <f t="shared" si="4"/>
        <v>0</v>
      </c>
      <c r="I22" s="90">
        <f t="shared" si="2"/>
        <v>0</v>
      </c>
    </row>
    <row r="23" spans="1:9" s="128" customFormat="1" ht="18" hidden="1">
      <c r="A23" s="88" t="s">
        <v>0</v>
      </c>
      <c r="B23" s="31"/>
      <c r="C23" s="32"/>
      <c r="D23" s="33"/>
      <c r="E23" s="92">
        <f>D23/D18*100</f>
        <v>0</v>
      </c>
      <c r="F23" s="92" t="e">
        <f t="shared" si="3"/>
        <v>#DIV/0!</v>
      </c>
      <c r="G23" s="92" t="e">
        <f t="shared" si="0"/>
        <v>#DIV/0!</v>
      </c>
      <c r="H23" s="90">
        <f t="shared" si="4"/>
        <v>0</v>
      </c>
      <c r="I23" s="90">
        <f t="shared" si="2"/>
        <v>0</v>
      </c>
    </row>
    <row r="24" spans="1:9" s="128" customFormat="1" ht="18">
      <c r="A24" s="88" t="s">
        <v>12</v>
      </c>
      <c r="B24" s="31">
        <v>678.3</v>
      </c>
      <c r="C24" s="32">
        <v>999.4</v>
      </c>
      <c r="D24" s="33">
        <f>199.2+100.3+88.2+109-0.1+47.3</f>
        <v>543.9</v>
      </c>
      <c r="E24" s="92">
        <f>D24/D18*100</f>
        <v>0.2053957745651959</v>
      </c>
      <c r="F24" s="92">
        <f t="shared" si="3"/>
        <v>80.18575851393189</v>
      </c>
      <c r="G24" s="92">
        <f t="shared" si="0"/>
        <v>54.42265359215529</v>
      </c>
      <c r="H24" s="90">
        <f t="shared" si="4"/>
        <v>134.39999999999998</v>
      </c>
      <c r="I24" s="90">
        <f t="shared" si="2"/>
        <v>455.5</v>
      </c>
    </row>
    <row r="25" spans="1:9" s="128" customFormat="1" ht="18.75" thickBot="1">
      <c r="A25" s="88" t="s">
        <v>25</v>
      </c>
      <c r="B25" s="32">
        <f>B18-B24</f>
        <v>276279.99999999994</v>
      </c>
      <c r="C25" s="32">
        <f>C18-C24</f>
        <v>417457.00000000006</v>
      </c>
      <c r="D25" s="32">
        <f>D18-D24</f>
        <v>264261.9369999999</v>
      </c>
      <c r="E25" s="92">
        <f>D25/D18*100</f>
        <v>99.7946042254348</v>
      </c>
      <c r="F25" s="92">
        <f t="shared" si="3"/>
        <v>95.65004234834225</v>
      </c>
      <c r="G25" s="92">
        <f t="shared" si="0"/>
        <v>63.302792143861495</v>
      </c>
      <c r="H25" s="90">
        <f t="shared" si="4"/>
        <v>12018.063000000024</v>
      </c>
      <c r="I25" s="90">
        <f t="shared" si="2"/>
        <v>153195.06300000014</v>
      </c>
    </row>
    <row r="26" spans="1:10" ht="57" hidden="1" thickBot="1">
      <c r="A26" s="68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0">
        <f t="shared" si="4"/>
        <v>0</v>
      </c>
      <c r="I26" s="33">
        <f t="shared" si="2"/>
        <v>0</v>
      </c>
      <c r="J26" s="128"/>
    </row>
    <row r="27" spans="1:10" ht="36.75" customHeight="1" hidden="1">
      <c r="A27" s="68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0">
        <f t="shared" si="4"/>
        <v>0</v>
      </c>
      <c r="I27" s="33">
        <f t="shared" si="2"/>
        <v>0</v>
      </c>
      <c r="J27" s="128"/>
    </row>
    <row r="28" spans="1:10" ht="19.5" hidden="1" thickBot="1">
      <c r="A28" s="68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0">
        <f t="shared" si="4"/>
        <v>0</v>
      </c>
      <c r="I28" s="33">
        <f t="shared" si="2"/>
        <v>0</v>
      </c>
      <c r="J28" s="128"/>
    </row>
    <row r="29" spans="1:10" ht="39.75" customHeight="1" hidden="1">
      <c r="A29" s="68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0">
        <f t="shared" si="4"/>
        <v>0</v>
      </c>
      <c r="I29" s="33">
        <f t="shared" si="2"/>
        <v>0</v>
      </c>
      <c r="J29" s="128"/>
    </row>
    <row r="30" spans="1:10" ht="37.5" customHeight="1" hidden="1">
      <c r="A30" s="68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0">
        <f t="shared" si="4"/>
        <v>0</v>
      </c>
      <c r="I30" s="33">
        <f t="shared" si="2"/>
        <v>0</v>
      </c>
      <c r="J30" s="128"/>
    </row>
    <row r="31" spans="1:10" ht="36" customHeight="1" hidden="1">
      <c r="A31" s="68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0">
        <f t="shared" si="4"/>
        <v>0</v>
      </c>
      <c r="I31" s="33">
        <f t="shared" si="2"/>
        <v>0</v>
      </c>
      <c r="J31" s="128"/>
    </row>
    <row r="32" spans="1:10" ht="19.5" hidden="1" thickBot="1">
      <c r="A32" s="68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0">
        <f t="shared" si="4"/>
        <v>0</v>
      </c>
      <c r="I32" s="33">
        <f t="shared" si="2"/>
        <v>0</v>
      </c>
      <c r="J32" s="128"/>
    </row>
    <row r="33" spans="1:10" ht="18.75" thickBot="1">
      <c r="A33" s="18" t="s">
        <v>15</v>
      </c>
      <c r="B33" s="34">
        <f>15370+16.9+150.8+2385.4</f>
        <v>17923.1</v>
      </c>
      <c r="C33" s="35">
        <f>26954.8-20-52+351.2</f>
        <v>27234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+7.9+19.1+185.8+4.3+148.9+148.4+519.2+43+137+77.9+36.8+34+795.3+15+203.7+87.2+97.2+0.1+107.5+304.4+89.8+144.4+105.7+5.6+581.7</f>
        <v>16165.099999999999</v>
      </c>
      <c r="E33" s="3">
        <f>D33/D156*100</f>
        <v>1.0474329953271624</v>
      </c>
      <c r="F33" s="3">
        <f>D33/B33*100</f>
        <v>90.19142893807432</v>
      </c>
      <c r="G33" s="148">
        <f t="shared" si="0"/>
        <v>59.356319306748915</v>
      </c>
      <c r="H33" s="149">
        <f t="shared" si="4"/>
        <v>1758</v>
      </c>
      <c r="I33" s="36">
        <f t="shared" si="2"/>
        <v>11068.900000000001</v>
      </c>
      <c r="J33" s="128"/>
    </row>
    <row r="34" spans="1:9" s="128" customFormat="1" ht="18">
      <c r="A34" s="88" t="s">
        <v>3</v>
      </c>
      <c r="B34" s="31">
        <f>8465+1249</f>
        <v>9714</v>
      </c>
      <c r="C34" s="32">
        <v>14255.8</v>
      </c>
      <c r="D34" s="33">
        <f>95.5+254.3+520.9+145.6+77.4+290.2+14+629.4+494.6+11.4+607.6+26.4+384.9+103.2+27.1+151.5+461.6+16.4+14.3-0.2+100.6+400.5+180.4+615.1+100.6+396.6-0.2+1.8+800.9+4.3+120.7+413.3+43-0.1+786.7+17.9+0.2+81.8+304.4+80.3+581.7</f>
        <v>9356.6</v>
      </c>
      <c r="E34" s="92">
        <f>D34/D33*100</f>
        <v>57.88148542229866</v>
      </c>
      <c r="F34" s="92">
        <f t="shared" si="3"/>
        <v>96.32077414041589</v>
      </c>
      <c r="G34" s="92">
        <f t="shared" si="0"/>
        <v>65.63363683553362</v>
      </c>
      <c r="H34" s="90">
        <f t="shared" si="4"/>
        <v>357.39999999999964</v>
      </c>
      <c r="I34" s="90">
        <f t="shared" si="2"/>
        <v>4899.199999999999</v>
      </c>
    </row>
    <row r="35" spans="1:9" s="128" customFormat="1" ht="18">
      <c r="A35" s="88" t="s">
        <v>1</v>
      </c>
      <c r="B35" s="31">
        <v>54.5</v>
      </c>
      <c r="C35" s="32">
        <f>87.1-32.6</f>
        <v>54.49999999999999</v>
      </c>
      <c r="D35" s="33">
        <f>10+2+7.5+3+1.9+26.2+3.9</f>
        <v>54.49999999999999</v>
      </c>
      <c r="E35" s="92">
        <f>D35/D33*100</f>
        <v>0.33714607394943424</v>
      </c>
      <c r="F35" s="92">
        <f t="shared" si="3"/>
        <v>99.99999999999999</v>
      </c>
      <c r="G35" s="92">
        <f t="shared" si="0"/>
        <v>100</v>
      </c>
      <c r="H35" s="90">
        <f t="shared" si="4"/>
        <v>0</v>
      </c>
      <c r="I35" s="90">
        <f t="shared" si="2"/>
        <v>0</v>
      </c>
    </row>
    <row r="36" spans="1:9" s="128" customFormat="1" ht="18">
      <c r="A36" s="88" t="s">
        <v>0</v>
      </c>
      <c r="B36" s="31">
        <f>1183.4+18.4</f>
        <v>1201.8000000000002</v>
      </c>
      <c r="C36" s="32">
        <f>2087.8+0.3</f>
        <v>2088.1000000000004</v>
      </c>
      <c r="D36" s="33">
        <f>1.1+273.8+98.4+76.8+0.5+2.1+0.3+6.6+52.2+342.8+0.4+3.3+12.2+25.8+7.1+2.1+70+0.1+0.7+1.9+15.3+8.2+0.2+4.2</f>
        <v>1006.1000000000003</v>
      </c>
      <c r="E36" s="92">
        <f>D36/D33*100</f>
        <v>6.223902110101394</v>
      </c>
      <c r="F36" s="92">
        <f t="shared" si="3"/>
        <v>83.71609252787486</v>
      </c>
      <c r="G36" s="92">
        <f t="shared" si="0"/>
        <v>48.182558306594515</v>
      </c>
      <c r="H36" s="90">
        <f t="shared" si="4"/>
        <v>195.69999999999993</v>
      </c>
      <c r="I36" s="90">
        <f t="shared" si="2"/>
        <v>1082</v>
      </c>
    </row>
    <row r="37" spans="1:9" s="83" customFormat="1" ht="18.75">
      <c r="A37" s="142" t="s">
        <v>7</v>
      </c>
      <c r="B37" s="39">
        <v>515.6</v>
      </c>
      <c r="C37" s="153">
        <v>1082.6</v>
      </c>
      <c r="D37" s="40">
        <f>38.7+2+2.3+2.6+2.1+1.9+12.2+7.5+2.4+10+18.2+1.9+7.4-0.2+35+64.9+5.2+1.5+33.7+2.8</f>
        <v>252.10000000000002</v>
      </c>
      <c r="E37" s="95">
        <f>D37/D33*100</f>
        <v>1.559532573259677</v>
      </c>
      <c r="F37" s="95">
        <f t="shared" si="3"/>
        <v>48.89449185415051</v>
      </c>
      <c r="G37" s="95">
        <f t="shared" si="0"/>
        <v>23.286532421947168</v>
      </c>
      <c r="H37" s="86">
        <f t="shared" si="4"/>
        <v>263.5</v>
      </c>
      <c r="I37" s="93">
        <f t="shared" si="2"/>
        <v>830.4999999999999</v>
      </c>
    </row>
    <row r="38" spans="1:9" s="128" customFormat="1" ht="18">
      <c r="A38" s="88" t="s">
        <v>12</v>
      </c>
      <c r="B38" s="31">
        <v>113.5</v>
      </c>
      <c r="C38" s="32">
        <f>221.9+8.7-26.1</f>
        <v>204.5</v>
      </c>
      <c r="D38" s="32">
        <f>5.1+45.9+8.7+34</f>
        <v>93.7</v>
      </c>
      <c r="E38" s="92">
        <f>D38/D33*100</f>
        <v>0.5796438005332476</v>
      </c>
      <c r="F38" s="92">
        <f t="shared" si="3"/>
        <v>82.55506607929516</v>
      </c>
      <c r="G38" s="92">
        <f t="shared" si="0"/>
        <v>45.81907090464548</v>
      </c>
      <c r="H38" s="90">
        <f t="shared" si="4"/>
        <v>19.799999999999997</v>
      </c>
      <c r="I38" s="90">
        <f t="shared" si="2"/>
        <v>110.8</v>
      </c>
    </row>
    <row r="39" spans="1:9" s="128" customFormat="1" ht="18.75" thickBot="1">
      <c r="A39" s="88" t="s">
        <v>25</v>
      </c>
      <c r="B39" s="31">
        <f>B33-B34-B36-B37-B35-B38</f>
        <v>6323.699999999998</v>
      </c>
      <c r="C39" s="31">
        <f>C33-C34-C36-C37-C35-C38</f>
        <v>9548.5</v>
      </c>
      <c r="D39" s="31">
        <f>D33-D34-D36-D37-D35-D38</f>
        <v>5402.099999999998</v>
      </c>
      <c r="E39" s="92">
        <f>D39/D33*100</f>
        <v>33.41829001985758</v>
      </c>
      <c r="F39" s="92">
        <f t="shared" si="3"/>
        <v>85.42625361734426</v>
      </c>
      <c r="G39" s="92">
        <f t="shared" si="0"/>
        <v>56.57537833167511</v>
      </c>
      <c r="H39" s="90">
        <f t="shared" si="4"/>
        <v>921.6000000000004</v>
      </c>
      <c r="I39" s="90">
        <f t="shared" si="2"/>
        <v>4146.400000000002</v>
      </c>
    </row>
    <row r="40" spans="1:10" ht="19.5" hidden="1" thickBot="1">
      <c r="A40" s="68" t="s">
        <v>64</v>
      </c>
      <c r="B40" s="69"/>
      <c r="C40" s="69"/>
      <c r="D40" s="69"/>
      <c r="E40" s="67"/>
      <c r="F40" s="67" t="e">
        <f t="shared" si="3"/>
        <v>#DIV/0!</v>
      </c>
      <c r="G40" s="67" t="e">
        <f t="shared" si="0"/>
        <v>#DIV/0!</v>
      </c>
      <c r="H40" s="90">
        <f t="shared" si="4"/>
        <v>0</v>
      </c>
      <c r="I40" s="71">
        <f t="shared" si="2"/>
        <v>0</v>
      </c>
      <c r="J40" s="128"/>
    </row>
    <row r="41" spans="1:10" ht="19.5" hidden="1" thickBot="1">
      <c r="A41" s="68" t="s">
        <v>65</v>
      </c>
      <c r="B41" s="69"/>
      <c r="C41" s="69"/>
      <c r="D41" s="69"/>
      <c r="E41" s="67"/>
      <c r="F41" s="67" t="e">
        <f t="shared" si="3"/>
        <v>#DIV/0!</v>
      </c>
      <c r="G41" s="67" t="e">
        <f t="shared" si="0"/>
        <v>#DIV/0!</v>
      </c>
      <c r="H41" s="90">
        <f t="shared" si="4"/>
        <v>0</v>
      </c>
      <c r="I41" s="71">
        <f t="shared" si="2"/>
        <v>0</v>
      </c>
      <c r="J41" s="128"/>
    </row>
    <row r="42" spans="1:10" ht="38.25" hidden="1" thickBot="1">
      <c r="A42" s="68" t="s">
        <v>66</v>
      </c>
      <c r="B42" s="69"/>
      <c r="C42" s="69"/>
      <c r="D42" s="69"/>
      <c r="E42" s="67"/>
      <c r="F42" s="67"/>
      <c r="G42" s="67" t="e">
        <f t="shared" si="0"/>
        <v>#DIV/0!</v>
      </c>
      <c r="H42" s="90">
        <f t="shared" si="4"/>
        <v>0</v>
      </c>
      <c r="I42" s="71">
        <f t="shared" si="2"/>
        <v>0</v>
      </c>
      <c r="J42" s="128"/>
    </row>
    <row r="43" spans="1:10" ht="19.5" thickBot="1">
      <c r="A43" s="11" t="s">
        <v>14</v>
      </c>
      <c r="B43" s="70">
        <f>569+84</f>
        <v>653</v>
      </c>
      <c r="C43" s="35">
        <f>955.1+25</f>
        <v>980.1</v>
      </c>
      <c r="D43" s="36">
        <f>18+9.7+7.2+11.6+18.4+18.7+25.1+13.5+2.2+2+16.6+22.9+12+21+7.7+15.6+10+15+10+0.1+10.1+18.6+9+50.3+7+2+8+16.2+27.7+2+2+2+5.5+4+20.4+5+2+2-0.1+2+17.1+4+0.7+3</f>
        <v>477.80000000000007</v>
      </c>
      <c r="E43" s="3">
        <f>D43/D156*100</f>
        <v>0.030959504436552713</v>
      </c>
      <c r="F43" s="3">
        <f>D43/B43*100</f>
        <v>73.16998468606432</v>
      </c>
      <c r="G43" s="3">
        <f t="shared" si="0"/>
        <v>48.75012753800633</v>
      </c>
      <c r="H43" s="149">
        <f t="shared" si="4"/>
        <v>175.19999999999993</v>
      </c>
      <c r="I43" s="36">
        <f t="shared" si="2"/>
        <v>502.29999999999995</v>
      </c>
      <c r="J43" s="128"/>
    </row>
    <row r="44" spans="1:10" ht="18.75" hidden="1" thickBot="1">
      <c r="A44" s="140" t="s">
        <v>12</v>
      </c>
      <c r="B44" s="136">
        <v>0</v>
      </c>
      <c r="C44" s="137">
        <f>51.5-51.5</f>
        <v>0</v>
      </c>
      <c r="D44" s="138">
        <v>0</v>
      </c>
      <c r="E44" s="139">
        <f>D44/D39*100</f>
        <v>0</v>
      </c>
      <c r="F44" s="139" t="e">
        <f>D44/B44*100</f>
        <v>#DIV/0!</v>
      </c>
      <c r="G44" s="139" t="e">
        <f>D44/C44*100</f>
        <v>#DIV/0!</v>
      </c>
      <c r="H44" s="90">
        <f t="shared" si="4"/>
        <v>0</v>
      </c>
      <c r="I44" s="138">
        <f>C44-D44</f>
        <v>0</v>
      </c>
      <c r="J44" s="128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28"/>
      <c r="K45" s="128"/>
    </row>
    <row r="46" spans="1:11" ht="18.75" thickBot="1">
      <c r="A46" s="18" t="s">
        <v>42</v>
      </c>
      <c r="B46" s="34">
        <f>11155.1</f>
        <v>11155.1</v>
      </c>
      <c r="C46" s="35">
        <f>16742.1+33.6+125+0.1</f>
        <v>16900.799999999996</v>
      </c>
      <c r="D46" s="36">
        <f>346.4+682.6-0.1+14.1+556.7+0.1+721.1+127.1+71.4+15.4+390.3+13.9+56.1+905.8+4.8+61.3+2.9+439.8+0.3+42+847.9+8.3+402.3+0.1+20.1+0.2+4.4+30.8+63.8+859.4+10.5+475.1+926.2+39.3+521.9+15.3+8.4-0.1+811.6+15.6+419+721.3</f>
        <v>10653.4</v>
      </c>
      <c r="E46" s="3">
        <f>D46/D156*100</f>
        <v>0.6902971631736514</v>
      </c>
      <c r="F46" s="3">
        <f>D46/B46*100</f>
        <v>95.50250558040716</v>
      </c>
      <c r="G46" s="3">
        <f aca="true" t="shared" si="5" ref="G46:G78">D46/C46*100</f>
        <v>63.034885922559894</v>
      </c>
      <c r="H46" s="36">
        <f>B46-D46</f>
        <v>501.7000000000007</v>
      </c>
      <c r="I46" s="36">
        <f aca="true" t="shared" si="6" ref="I46:I79">C46-D46</f>
        <v>6247.399999999996</v>
      </c>
      <c r="J46" s="128"/>
      <c r="K46" s="128"/>
    </row>
    <row r="47" spans="1:9" s="128" customFormat="1" ht="18">
      <c r="A47" s="88" t="s">
        <v>3</v>
      </c>
      <c r="B47" s="31">
        <f>8260.5+1813.1</f>
        <v>10073.6</v>
      </c>
      <c r="C47" s="108">
        <v>15270.9</v>
      </c>
      <c r="D47" s="90">
        <f>332.5+633.1+14.1+510.1+691.2+14.1+377.2-0.1+896.5+425+839.9+7+383.6+0.2+7+859.2+449.3+922.6+495.5+806.4+418.5+708</f>
        <v>9790.9</v>
      </c>
      <c r="E47" s="92">
        <f>D47/D46*100</f>
        <v>91.90399309140744</v>
      </c>
      <c r="F47" s="92">
        <f aca="true" t="shared" si="7" ref="F47:F76">D47/B47*100</f>
        <v>97.1936547013977</v>
      </c>
      <c r="G47" s="92">
        <f t="shared" si="5"/>
        <v>64.1147542057115</v>
      </c>
      <c r="H47" s="90">
        <f aca="true" t="shared" si="8" ref="H47:H76">B47-D47</f>
        <v>282.7000000000007</v>
      </c>
      <c r="I47" s="90">
        <f t="shared" si="6"/>
        <v>5480</v>
      </c>
    </row>
    <row r="48" spans="1:9" s="128" customFormat="1" ht="18">
      <c r="A48" s="88" t="s">
        <v>2</v>
      </c>
      <c r="B48" s="31">
        <v>0.9</v>
      </c>
      <c r="C48" s="108">
        <v>1.6</v>
      </c>
      <c r="D48" s="90">
        <v>0.9</v>
      </c>
      <c r="E48" s="92">
        <f>D48/D46*100</f>
        <v>0.008448007208966152</v>
      </c>
      <c r="F48" s="92">
        <f t="shared" si="7"/>
        <v>100</v>
      </c>
      <c r="G48" s="92">
        <f t="shared" si="5"/>
        <v>56.25</v>
      </c>
      <c r="H48" s="90">
        <f t="shared" si="8"/>
        <v>0</v>
      </c>
      <c r="I48" s="90">
        <f t="shared" si="6"/>
        <v>0.7000000000000001</v>
      </c>
    </row>
    <row r="49" spans="1:9" s="128" customFormat="1" ht="18">
      <c r="A49" s="88" t="s">
        <v>1</v>
      </c>
      <c r="B49" s="31">
        <v>62.4</v>
      </c>
      <c r="C49" s="108">
        <v>106.3</v>
      </c>
      <c r="D49" s="90">
        <f>8.3+10.5+10.2+9.5+10.6+8.1</f>
        <v>57.2</v>
      </c>
      <c r="E49" s="92">
        <f>D49/D46*100</f>
        <v>0.5369177915031821</v>
      </c>
      <c r="F49" s="92">
        <f t="shared" si="7"/>
        <v>91.66666666666667</v>
      </c>
      <c r="G49" s="92">
        <f t="shared" si="5"/>
        <v>53.80997177798683</v>
      </c>
      <c r="H49" s="90">
        <f t="shared" si="8"/>
        <v>5.199999999999996</v>
      </c>
      <c r="I49" s="90">
        <f t="shared" si="6"/>
        <v>49.099999999999994</v>
      </c>
    </row>
    <row r="50" spans="1:9" s="128" customFormat="1" ht="18">
      <c r="A50" s="88" t="s">
        <v>0</v>
      </c>
      <c r="B50" s="31">
        <v>714</v>
      </c>
      <c r="C50" s="108">
        <v>998.4</v>
      </c>
      <c r="D50" s="90">
        <f>13.9+43.7+37.9+3.3+112.6+65.7+2.1+15.6+56.1+2.7+37.7+0.1+42+5.3+1.3+11.6+20.1+0.2+56.8+3.9+4+8.4+3</f>
        <v>548</v>
      </c>
      <c r="E50" s="92">
        <f>D50/D46*100</f>
        <v>5.143897722792723</v>
      </c>
      <c r="F50" s="92">
        <f t="shared" si="7"/>
        <v>76.75070028011206</v>
      </c>
      <c r="G50" s="92">
        <f t="shared" si="5"/>
        <v>54.88782051282052</v>
      </c>
      <c r="H50" s="90">
        <f t="shared" si="8"/>
        <v>166</v>
      </c>
      <c r="I50" s="90">
        <f t="shared" si="6"/>
        <v>450.4</v>
      </c>
    </row>
    <row r="51" spans="1:9" s="128" customFormat="1" ht="18.75" thickBot="1">
      <c r="A51" s="88" t="s">
        <v>25</v>
      </c>
      <c r="B51" s="32">
        <f>B46-B47-B50-B49-B48</f>
        <v>304.20000000000005</v>
      </c>
      <c r="C51" s="108">
        <f>C46-C47-C50-C49-C48</f>
        <v>523.599999999996</v>
      </c>
      <c r="D51" s="108">
        <f>D46-D47-D50-D49-D48</f>
        <v>256.40000000000003</v>
      </c>
      <c r="E51" s="92">
        <f>D51/D46*100</f>
        <v>2.406743387087691</v>
      </c>
      <c r="F51" s="92">
        <f t="shared" si="7"/>
        <v>84.28665351742275</v>
      </c>
      <c r="G51" s="92">
        <f t="shared" si="5"/>
        <v>48.968678380443464</v>
      </c>
      <c r="H51" s="90">
        <f t="shared" si="8"/>
        <v>47.80000000000001</v>
      </c>
      <c r="I51" s="90">
        <f t="shared" si="6"/>
        <v>267.199999999996</v>
      </c>
    </row>
    <row r="52" spans="1:10" ht="18.75" thickBot="1">
      <c r="A52" s="18" t="s">
        <v>4</v>
      </c>
      <c r="B52" s="34">
        <f>32326-400-152.8+3466.4</f>
        <v>35239.6</v>
      </c>
      <c r="C52" s="35">
        <f>54626.8-33-1640-1100-400</f>
        <v>51453.8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+63+78.1+193+4+175.2+42.8+902.9+9.1+300.8+36.7+5+0.2+967.7+78.4+150.4+56.7+23.8+692.4+1.3+14.4+275.5+1169.7</f>
        <v>27829.700000000008</v>
      </c>
      <c r="E52" s="3">
        <f>D52/D156*100</f>
        <v>1.8032518221388263</v>
      </c>
      <c r="F52" s="3">
        <f>D52/B52*100</f>
        <v>78.97280332353378</v>
      </c>
      <c r="G52" s="3">
        <f t="shared" si="5"/>
        <v>54.086772988583945</v>
      </c>
      <c r="H52" s="36">
        <f>B52-D52</f>
        <v>7409.8999999999905</v>
      </c>
      <c r="I52" s="36">
        <f t="shared" si="6"/>
        <v>23624.099999999995</v>
      </c>
      <c r="J52" s="128"/>
    </row>
    <row r="53" spans="1:9" s="128" customFormat="1" ht="18">
      <c r="A53" s="88" t="s">
        <v>3</v>
      </c>
      <c r="B53" s="31">
        <f>17012.5+1304.1</f>
        <v>18316.6</v>
      </c>
      <c r="C53" s="32">
        <v>25959.9</v>
      </c>
      <c r="D53" s="33">
        <f>721.7+980.4+865.2+984.4+270.7+792.3+9.9+66.7+1210.9+835.2+313.7+945.1+17.3+739.5+1432.2+7.4+1036.6-0.2+2347.5+193+703.6+685.6+56.7+0.1+432.5+932.1</f>
        <v>16580.100000000002</v>
      </c>
      <c r="E53" s="92">
        <f>D53/D52*100</f>
        <v>59.57699867407841</v>
      </c>
      <c r="F53" s="92">
        <f t="shared" si="7"/>
        <v>90.51952873349859</v>
      </c>
      <c r="G53" s="92">
        <f t="shared" si="5"/>
        <v>63.86811967688628</v>
      </c>
      <c r="H53" s="90">
        <f t="shared" si="8"/>
        <v>1736.4999999999964</v>
      </c>
      <c r="I53" s="90">
        <f t="shared" si="6"/>
        <v>9379.8</v>
      </c>
    </row>
    <row r="54" spans="1:9" s="128" customFormat="1" ht="18">
      <c r="A54" s="88" t="s">
        <v>2</v>
      </c>
      <c r="B54" s="31"/>
      <c r="C54" s="32">
        <v>16.4</v>
      </c>
      <c r="D54" s="33"/>
      <c r="E54" s="92">
        <f>D54/D52*100</f>
        <v>0</v>
      </c>
      <c r="F54" s="92" t="e">
        <f>D54/B54*100</f>
        <v>#DIV/0!</v>
      </c>
      <c r="G54" s="92">
        <f t="shared" si="5"/>
        <v>0</v>
      </c>
      <c r="H54" s="90">
        <f t="shared" si="8"/>
        <v>0</v>
      </c>
      <c r="I54" s="90">
        <f t="shared" si="6"/>
        <v>16.4</v>
      </c>
    </row>
    <row r="55" spans="1:9" s="128" customFormat="1" ht="18">
      <c r="A55" s="88" t="s">
        <v>1</v>
      </c>
      <c r="B55" s="31">
        <f>2435.3+275.3-15</f>
        <v>2695.6000000000004</v>
      </c>
      <c r="C55" s="32">
        <f>4332.1-250-15</f>
        <v>4067.1000000000004</v>
      </c>
      <c r="D55" s="33">
        <f>3.2+7.6+9.6+11.4+10.1+24.7+6.6+7.8+2.3+6.6+70.1+102.1+3.2+185.8+105+116.2+245+84+7.3+8.9+0.2+110.8+122.9-0.1+5.4+43.7+5.9+0.4+35.5+6.2+57+84.1+17.2+1.6+53.4+53</f>
        <v>1614.7000000000005</v>
      </c>
      <c r="E55" s="92">
        <f>D55/D52*100</f>
        <v>5.80207476185514</v>
      </c>
      <c r="F55" s="92">
        <f t="shared" si="7"/>
        <v>59.90132067072267</v>
      </c>
      <c r="G55" s="92">
        <f t="shared" si="5"/>
        <v>39.701507216444156</v>
      </c>
      <c r="H55" s="90">
        <f t="shared" si="8"/>
        <v>1080.8999999999999</v>
      </c>
      <c r="I55" s="90">
        <f t="shared" si="6"/>
        <v>2452.3999999999996</v>
      </c>
    </row>
    <row r="56" spans="1:9" s="128" customFormat="1" ht="18">
      <c r="A56" s="88" t="s">
        <v>0</v>
      </c>
      <c r="B56" s="31">
        <f>804.1+35.3</f>
        <v>839.4</v>
      </c>
      <c r="C56" s="32">
        <f>1406.6+3.9+1</f>
        <v>1411.5</v>
      </c>
      <c r="D56" s="33">
        <f>0.3+1.2+21.4+80.5+2.4+14.5+22.9+268+5.9+0.1+8.8+0.5+18.5+22.5+0.1+5.1+69.1+23+1.1+16.4+1+37.3+17.3+14.3+2.9+3.7+0.1+2.9+7.3+0.4+17.9+0.9-0.1+5.7+23.8-10.1+1.2+3.1</f>
        <v>711.8999999999999</v>
      </c>
      <c r="E56" s="92">
        <f>D56/D52*100</f>
        <v>2.5580584770946135</v>
      </c>
      <c r="F56" s="92">
        <f t="shared" si="7"/>
        <v>84.81057898498926</v>
      </c>
      <c r="G56" s="92">
        <f t="shared" si="5"/>
        <v>50.4357066950053</v>
      </c>
      <c r="H56" s="90">
        <f t="shared" si="8"/>
        <v>127.50000000000011</v>
      </c>
      <c r="I56" s="90">
        <f t="shared" si="6"/>
        <v>699.6000000000001</v>
      </c>
    </row>
    <row r="57" spans="1:9" s="128" customFormat="1" ht="18">
      <c r="A57" s="88" t="s">
        <v>12</v>
      </c>
      <c r="B57" s="31">
        <f>2079.7-152.8+700.8</f>
        <v>2627.7</v>
      </c>
      <c r="C57" s="32">
        <f>4640-960</f>
        <v>3680</v>
      </c>
      <c r="D57" s="32">
        <f>227+242+245+245+245+245+245</f>
        <v>1694</v>
      </c>
      <c r="E57" s="92">
        <f>D57/D52*100</f>
        <v>6.087022138219239</v>
      </c>
      <c r="F57" s="92">
        <f>D57/B57*100</f>
        <v>64.46702439395669</v>
      </c>
      <c r="G57" s="92">
        <f>D57/C57*100</f>
        <v>46.03260869565217</v>
      </c>
      <c r="H57" s="90">
        <f t="shared" si="8"/>
        <v>933.6999999999998</v>
      </c>
      <c r="I57" s="90">
        <f t="shared" si="6"/>
        <v>1986</v>
      </c>
    </row>
    <row r="58" spans="1:9" s="128" customFormat="1" ht="18.75" thickBot="1">
      <c r="A58" s="88" t="s">
        <v>25</v>
      </c>
      <c r="B58" s="32">
        <f>B52-B53-B56-B55-B54-B57</f>
        <v>10760.3</v>
      </c>
      <c r="C58" s="32">
        <f>C52-C53-C56-C55-C54-C57</f>
        <v>16318.900000000001</v>
      </c>
      <c r="D58" s="32">
        <f>D52-D53-D56-D55-D54-D57</f>
        <v>7229.0000000000055</v>
      </c>
      <c r="E58" s="92">
        <f>D58/D52*100</f>
        <v>25.975845948752603</v>
      </c>
      <c r="F58" s="92">
        <f t="shared" si="7"/>
        <v>67.18214176184685</v>
      </c>
      <c r="G58" s="92">
        <f t="shared" si="5"/>
        <v>44.298328931484384</v>
      </c>
      <c r="H58" s="90">
        <f>B58-D58</f>
        <v>3531.299999999994</v>
      </c>
      <c r="I58" s="90">
        <f>C58-D58</f>
        <v>9089.899999999996</v>
      </c>
    </row>
    <row r="59" spans="1:10" s="29" customFormat="1" ht="19.5" hidden="1" thickBot="1">
      <c r="A59" s="68" t="s">
        <v>63</v>
      </c>
      <c r="B59" s="66"/>
      <c r="C59" s="66"/>
      <c r="D59" s="66"/>
      <c r="E59" s="1"/>
      <c r="F59" s="67" t="e">
        <f t="shared" si="7"/>
        <v>#DIV/0!</v>
      </c>
      <c r="G59" s="67" t="e">
        <f t="shared" si="5"/>
        <v>#DIV/0!</v>
      </c>
      <c r="H59" s="71">
        <f t="shared" si="8"/>
        <v>0</v>
      </c>
      <c r="I59" s="71">
        <f>C59-D59</f>
        <v>0</v>
      </c>
      <c r="J59" s="83"/>
    </row>
    <row r="60" spans="1:10" ht="18.75" thickBot="1">
      <c r="A60" s="18" t="s">
        <v>6</v>
      </c>
      <c r="B60" s="34">
        <v>7410.6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80.6+106+88.7+4.1+0.3+50.7+49.2+44+180.6+100.8+125+0.6+0.8+205.4-0.2+30.8+60.6+59.8+0.5+2.3+86.2+133.9+48.6-0.1+49.5+49.3+61.5+235.8+7.3+105+495.2+130.9+134.1+450.8+421.5+647.3+146.2+976.5+7.7+0.1+100+1144.9+45.9+52.2+0.9+4.7+0.3+2.4+182.4</f>
        <v>6911.599999999998</v>
      </c>
      <c r="E60" s="3">
        <f>D60/D156*100</f>
        <v>0.4478436811713638</v>
      </c>
      <c r="F60" s="3">
        <f>D60/B60*100</f>
        <v>93.26640218066011</v>
      </c>
      <c r="G60" s="3">
        <f t="shared" si="5"/>
        <v>78.06277459650546</v>
      </c>
      <c r="H60" s="36">
        <f>B60-D60</f>
        <v>499.00000000000273</v>
      </c>
      <c r="I60" s="36">
        <f t="shared" si="6"/>
        <v>1942.300000000002</v>
      </c>
      <c r="J60" s="128"/>
    </row>
    <row r="61" spans="1:9" s="128" customFormat="1" ht="18">
      <c r="A61" s="88" t="s">
        <v>3</v>
      </c>
      <c r="B61" s="156">
        <f>2015.9+445.3</f>
        <v>2461.2000000000003</v>
      </c>
      <c r="C61" s="108">
        <v>3626.9</v>
      </c>
      <c r="D61" s="90">
        <f>80.6+106+88.7+4.1+50.7+38.1+180.6+95.6+203.1+54.2+59.8+86.2+109.7+0.1+49.5+34.4+208.9+102+130.9+94.1+121.3+0.1+99.9+81.5-0.1+45.9+52.2+180.8</f>
        <v>2358.9000000000005</v>
      </c>
      <c r="E61" s="92">
        <f>D61/D60*100</f>
        <v>34.12957925805893</v>
      </c>
      <c r="F61" s="92">
        <f t="shared" si="7"/>
        <v>95.84349098000976</v>
      </c>
      <c r="G61" s="92">
        <f t="shared" si="5"/>
        <v>65.03901403402355</v>
      </c>
      <c r="H61" s="90">
        <f t="shared" si="8"/>
        <v>102.29999999999973</v>
      </c>
      <c r="I61" s="90">
        <f t="shared" si="6"/>
        <v>1267.9999999999995</v>
      </c>
    </row>
    <row r="62" spans="1:9" s="128" customFormat="1" ht="18">
      <c r="A62" s="88" t="s">
        <v>1</v>
      </c>
      <c r="B62" s="156">
        <v>420</v>
      </c>
      <c r="C62" s="108">
        <v>420</v>
      </c>
      <c r="D62" s="90">
        <f>351.5+65.9</f>
        <v>417.4</v>
      </c>
      <c r="E62" s="92">
        <f>D62/D60*100</f>
        <v>6.039122634411715</v>
      </c>
      <c r="F62" s="92">
        <f>D62/B62*100</f>
        <v>99.38095238095238</v>
      </c>
      <c r="G62" s="92">
        <f t="shared" si="5"/>
        <v>99.38095238095238</v>
      </c>
      <c r="H62" s="90">
        <f t="shared" si="8"/>
        <v>2.6000000000000227</v>
      </c>
      <c r="I62" s="90">
        <f t="shared" si="6"/>
        <v>2.6000000000000227</v>
      </c>
    </row>
    <row r="63" spans="1:9" s="128" customFormat="1" ht="18">
      <c r="A63" s="88" t="s">
        <v>0</v>
      </c>
      <c r="B63" s="156">
        <v>324.1</v>
      </c>
      <c r="C63" s="108">
        <v>475.3</v>
      </c>
      <c r="D63" s="90">
        <f>9.6+44+118.7+0.1+30.8+0.2+16.8+0.1+13.9+3.1+7+0.8+0.9+4.6+0.1+0.5+0.8</f>
        <v>252.00000000000003</v>
      </c>
      <c r="E63" s="92">
        <f>D63/D60*100</f>
        <v>3.6460443312691724</v>
      </c>
      <c r="F63" s="92">
        <f t="shared" si="7"/>
        <v>77.7537796976242</v>
      </c>
      <c r="G63" s="92">
        <f t="shared" si="5"/>
        <v>53.01914580265096</v>
      </c>
      <c r="H63" s="90">
        <f t="shared" si="8"/>
        <v>72.1</v>
      </c>
      <c r="I63" s="90">
        <f t="shared" si="6"/>
        <v>223.29999999999998</v>
      </c>
    </row>
    <row r="64" spans="1:9" s="128" customFormat="1" ht="18">
      <c r="A64" s="88" t="s">
        <v>12</v>
      </c>
      <c r="B64" s="156">
        <v>3434.1</v>
      </c>
      <c r="C64" s="108">
        <f>4848.7-1414.6</f>
        <v>3434.1</v>
      </c>
      <c r="D64" s="90">
        <f>494.9+450.8+494.9+146.2+852.6+994.7</f>
        <v>3434.1000000000004</v>
      </c>
      <c r="E64" s="92">
        <f>D64/D60*100</f>
        <v>49.686035071474066</v>
      </c>
      <c r="F64" s="92">
        <f t="shared" si="7"/>
        <v>100.00000000000003</v>
      </c>
      <c r="G64" s="92">
        <f t="shared" si="5"/>
        <v>100.00000000000003</v>
      </c>
      <c r="H64" s="90">
        <f t="shared" si="8"/>
        <v>0</v>
      </c>
      <c r="I64" s="90">
        <f t="shared" si="6"/>
        <v>0</v>
      </c>
    </row>
    <row r="65" spans="1:9" s="128" customFormat="1" ht="18.75" thickBot="1">
      <c r="A65" s="88" t="s">
        <v>25</v>
      </c>
      <c r="B65" s="32">
        <f>B60-B61-B63-B64-B62</f>
        <v>771.1999999999994</v>
      </c>
      <c r="C65" s="108">
        <f>C60-C61-C63-C64-C62</f>
        <v>897.5999999999999</v>
      </c>
      <c r="D65" s="108">
        <f>D60-D61-D63-D64-D62</f>
        <v>449.19999999999675</v>
      </c>
      <c r="E65" s="92">
        <f>D65/D60*100</f>
        <v>6.499218704786112</v>
      </c>
      <c r="F65" s="92">
        <f t="shared" si="7"/>
        <v>58.24688796680461</v>
      </c>
      <c r="G65" s="92">
        <f t="shared" si="5"/>
        <v>50.04456327985704</v>
      </c>
      <c r="H65" s="90">
        <f t="shared" si="8"/>
        <v>322.0000000000026</v>
      </c>
      <c r="I65" s="90">
        <f t="shared" si="6"/>
        <v>448.40000000000316</v>
      </c>
    </row>
    <row r="66" spans="1:10" s="29" customFormat="1" ht="19.5" hidden="1" thickBot="1">
      <c r="A66" s="68" t="s">
        <v>74</v>
      </c>
      <c r="B66" s="66"/>
      <c r="C66" s="66"/>
      <c r="D66" s="66"/>
      <c r="E66" s="67"/>
      <c r="F66" s="67" t="e">
        <f>D66/B66*100</f>
        <v>#DIV/0!</v>
      </c>
      <c r="G66" s="67" t="e">
        <f>D66/C66*100</f>
        <v>#DIV/0!</v>
      </c>
      <c r="H66" s="71">
        <f t="shared" si="8"/>
        <v>0</v>
      </c>
      <c r="I66" s="71">
        <f t="shared" si="6"/>
        <v>0</v>
      </c>
      <c r="J66" s="83"/>
    </row>
    <row r="67" spans="1:10" s="29" customFormat="1" ht="19.5" hidden="1" thickBot="1">
      <c r="A67" s="68" t="s">
        <v>60</v>
      </c>
      <c r="B67" s="66"/>
      <c r="C67" s="66"/>
      <c r="D67" s="66"/>
      <c r="E67" s="67"/>
      <c r="F67" s="67" t="e">
        <f t="shared" si="7"/>
        <v>#DIV/0!</v>
      </c>
      <c r="G67" s="67" t="e">
        <f t="shared" si="5"/>
        <v>#DIV/0!</v>
      </c>
      <c r="H67" s="71">
        <f t="shared" si="8"/>
        <v>0</v>
      </c>
      <c r="I67" s="71">
        <f t="shared" si="6"/>
        <v>0</v>
      </c>
      <c r="J67" s="83"/>
    </row>
    <row r="68" spans="1:10" s="29" customFormat="1" ht="19.5" hidden="1" thickBot="1">
      <c r="A68" s="68" t="s">
        <v>61</v>
      </c>
      <c r="B68" s="66"/>
      <c r="C68" s="66"/>
      <c r="D68" s="66"/>
      <c r="E68" s="67"/>
      <c r="F68" s="67" t="e">
        <f t="shared" si="7"/>
        <v>#DIV/0!</v>
      </c>
      <c r="G68" s="67" t="e">
        <f t="shared" si="5"/>
        <v>#DIV/0!</v>
      </c>
      <c r="H68" s="71">
        <f t="shared" si="8"/>
        <v>0</v>
      </c>
      <c r="I68" s="71">
        <f t="shared" si="6"/>
        <v>0</v>
      </c>
      <c r="J68" s="83"/>
    </row>
    <row r="69" spans="1:10" s="29" customFormat="1" ht="19.5" hidden="1" thickBot="1">
      <c r="A69" s="68" t="s">
        <v>62</v>
      </c>
      <c r="B69" s="66"/>
      <c r="C69" s="66"/>
      <c r="D69" s="66"/>
      <c r="E69" s="67"/>
      <c r="F69" s="67" t="e">
        <f t="shared" si="7"/>
        <v>#DIV/0!</v>
      </c>
      <c r="G69" s="67" t="e">
        <f t="shared" si="5"/>
        <v>#DIV/0!</v>
      </c>
      <c r="H69" s="71">
        <f t="shared" si="8"/>
        <v>0</v>
      </c>
      <c r="I69" s="71">
        <f t="shared" si="6"/>
        <v>0</v>
      </c>
      <c r="J69" s="83"/>
    </row>
    <row r="70" spans="1:10" ht="18.75" thickBot="1">
      <c r="A70" s="18" t="s">
        <v>18</v>
      </c>
      <c r="B70" s="35">
        <f>B71+B72</f>
        <v>317.5</v>
      </c>
      <c r="C70" s="35">
        <f>C71+C72</f>
        <v>408.6</v>
      </c>
      <c r="D70" s="36">
        <f>D71+D72</f>
        <v>248.3</v>
      </c>
      <c r="E70" s="27">
        <f>D70/D156*100</f>
        <v>0.01608883413896199</v>
      </c>
      <c r="F70" s="3">
        <f>D70/B70*100</f>
        <v>78.20472440944883</v>
      </c>
      <c r="G70" s="3">
        <f t="shared" si="5"/>
        <v>60.76847772883015</v>
      </c>
      <c r="H70" s="36">
        <f>B70-D70</f>
        <v>69.19999999999999</v>
      </c>
      <c r="I70" s="36">
        <f t="shared" si="6"/>
        <v>160.3</v>
      </c>
      <c r="J70" s="128"/>
    </row>
    <row r="71" spans="1:9" s="128" customFormat="1" ht="18">
      <c r="A71" s="88" t="s">
        <v>106</v>
      </c>
      <c r="B71" s="31">
        <v>217.3</v>
      </c>
      <c r="C71" s="32">
        <v>217.3</v>
      </c>
      <c r="D71" s="90">
        <f>50+117.3+50</f>
        <v>217.3</v>
      </c>
      <c r="E71" s="92">
        <f>D71/D70*100</f>
        <v>87.51510269834877</v>
      </c>
      <c r="F71" s="92">
        <f t="shared" si="7"/>
        <v>100</v>
      </c>
      <c r="G71" s="92">
        <f t="shared" si="5"/>
        <v>100</v>
      </c>
      <c r="H71" s="90">
        <f t="shared" si="8"/>
        <v>0</v>
      </c>
      <c r="I71" s="90">
        <f t="shared" si="6"/>
        <v>0</v>
      </c>
    </row>
    <row r="72" spans="1:9" s="128" customFormat="1" ht="21" customHeight="1">
      <c r="A72" s="141" t="s">
        <v>107</v>
      </c>
      <c r="B72" s="31">
        <v>100.2</v>
      </c>
      <c r="C72" s="32">
        <f>396.5-65.8-22.7-7.6-44.6-43.5-21</f>
        <v>191.29999999999998</v>
      </c>
      <c r="D72" s="90">
        <f>0.6+6.4+23.4+0.7-0.1</f>
        <v>30.999999999999996</v>
      </c>
      <c r="E72" s="92">
        <f>D72/D71*100</f>
        <v>14.265991716520936</v>
      </c>
      <c r="F72" s="92">
        <f t="shared" si="7"/>
        <v>30.938123752495006</v>
      </c>
      <c r="G72" s="92">
        <f t="shared" si="5"/>
        <v>16.20491374803973</v>
      </c>
      <c r="H72" s="90">
        <f t="shared" si="8"/>
        <v>69.2</v>
      </c>
      <c r="I72" s="90">
        <f t="shared" si="6"/>
        <v>160.29999999999998</v>
      </c>
    </row>
    <row r="73" spans="1:9" s="128" customFormat="1" ht="18.75" thickBot="1">
      <c r="A73" s="88" t="s">
        <v>46</v>
      </c>
      <c r="B73" s="31">
        <f>23.4+0.7</f>
        <v>24.099999999999998</v>
      </c>
      <c r="C73" s="32">
        <f>23.4+0.7</f>
        <v>24.099999999999998</v>
      </c>
      <c r="D73" s="108">
        <f>23.4+0.7</f>
        <v>24.099999999999998</v>
      </c>
      <c r="E73" s="92">
        <f>D73/D72*100</f>
        <v>77.74193548387098</v>
      </c>
      <c r="F73" s="92">
        <f>D73/B73*100</f>
        <v>100</v>
      </c>
      <c r="G73" s="92">
        <f>D73/C73*100</f>
        <v>100</v>
      </c>
      <c r="H73" s="90">
        <f>B73-D73</f>
        <v>0</v>
      </c>
      <c r="I73" s="90">
        <f>C73-D73</f>
        <v>0</v>
      </c>
    </row>
    <row r="74" spans="1:10" ht="38.25" hidden="1" thickBot="1">
      <c r="A74" s="11" t="s">
        <v>39</v>
      </c>
      <c r="B74" s="42"/>
      <c r="C74" s="43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28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28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28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28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28"/>
    </row>
    <row r="79" spans="1:10" s="29" customFormat="1" ht="19.5" thickBot="1">
      <c r="A79" s="21" t="s">
        <v>11</v>
      </c>
      <c r="B79" s="42">
        <f>80+20</f>
        <v>100</v>
      </c>
      <c r="C79" s="154">
        <f>10000-9900</f>
        <v>100</v>
      </c>
      <c r="D79" s="49"/>
      <c r="E79" s="30"/>
      <c r="F79" s="30"/>
      <c r="G79" s="30"/>
      <c r="H79" s="49">
        <f>B79-D79</f>
        <v>100</v>
      </c>
      <c r="I79" s="49">
        <f t="shared" si="6"/>
        <v>100</v>
      </c>
      <c r="J79" s="83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0"/>
      <c r="J80" s="128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28"/>
    </row>
    <row r="82" spans="1:10" s="8" customFormat="1" ht="18.75" hidden="1" thickBot="1">
      <c r="A82" s="9" t="s">
        <v>53</v>
      </c>
      <c r="B82" s="50"/>
      <c r="C82" s="32"/>
      <c r="D82" s="33"/>
      <c r="E82" s="65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27"/>
    </row>
    <row r="83" spans="1:10" s="8" customFormat="1" ht="31.5" hidden="1" thickBot="1">
      <c r="A83" s="9" t="s">
        <v>51</v>
      </c>
      <c r="B83" s="50"/>
      <c r="C83" s="32"/>
      <c r="D83" s="33"/>
      <c r="E83" s="65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27"/>
    </row>
    <row r="84" spans="1:10" s="8" customFormat="1" ht="16.5" customHeight="1" hidden="1">
      <c r="A84" s="9" t="s">
        <v>31</v>
      </c>
      <c r="B84" s="50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27"/>
    </row>
    <row r="85" spans="1:10" s="8" customFormat="1" ht="33" customHeight="1" hidden="1" thickBot="1">
      <c r="A85" s="9" t="s">
        <v>37</v>
      </c>
      <c r="B85" s="50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27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28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28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28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28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28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28"/>
    </row>
    <row r="92" spans="1:10" ht="19.5" thickBot="1">
      <c r="A92" s="11" t="s">
        <v>8</v>
      </c>
      <c r="B92" s="41">
        <v>150098.3</v>
      </c>
      <c r="C92" s="35">
        <f>208452.8+200+77.9-200+1000.1+7691.5</f>
        <v>217222.3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+45.4+8006.2+816.9+556.7+252.7+47.1+26.1+10.5+1831.8+362.6+5112.3+49.2+9.1+4.2+67+56.3+15.3+36.4+3.2+0.2+1681.3+904.4+5604+2912.7+111.6+443.9+432.8+161.2+154.6+72.7+480.5+513.7+5.6+4306.4+1460.6+6.4+26.5+6.4+367.1+102+309.4+863.4+791.5</f>
        <v>136883.69999999998</v>
      </c>
      <c r="E92" s="3">
        <f>D92/D156*100</f>
        <v>8.869509245378296</v>
      </c>
      <c r="F92" s="3">
        <f aca="true" t="shared" si="11" ref="F92:F98">D92/B92*100</f>
        <v>91.19603619761183</v>
      </c>
      <c r="G92" s="3">
        <f t="shared" si="9"/>
        <v>63.015491503404576</v>
      </c>
      <c r="H92" s="36">
        <f aca="true" t="shared" si="12" ref="H92:H98">B92-D92</f>
        <v>13214.600000000006</v>
      </c>
      <c r="I92" s="36">
        <f t="shared" si="10"/>
        <v>80338.6</v>
      </c>
      <c r="J92" s="128"/>
    </row>
    <row r="93" spans="1:9" s="128" customFormat="1" ht="21.75" customHeight="1">
      <c r="A93" s="88" t="s">
        <v>3</v>
      </c>
      <c r="B93" s="107">
        <f>141469.3-123.4+34.3</f>
        <v>141380.19999999998</v>
      </c>
      <c r="C93" s="108">
        <f>195523.2+200-200+936+7331.5</f>
        <v>203790.7</v>
      </c>
      <c r="D93" s="90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+7970.4+385.2+462.1+247.2+1788.6+354.1+5063.8+47.1+52.3+0.1+1675.5+858.8+5573.5+2911.9+11.6+413+204.9+151+34.8+434.2+551.8+4292.3+1451.3+25+360+307.7+772.5+102+783.1</f>
        <v>130014.79999999999</v>
      </c>
      <c r="E93" s="92">
        <f>D93/D92*100</f>
        <v>94.981944526631</v>
      </c>
      <c r="F93" s="92">
        <f t="shared" si="11"/>
        <v>91.96110912277675</v>
      </c>
      <c r="G93" s="92">
        <f t="shared" si="9"/>
        <v>63.79820080111603</v>
      </c>
      <c r="H93" s="90">
        <f t="shared" si="12"/>
        <v>11365.399999999994</v>
      </c>
      <c r="I93" s="90">
        <f t="shared" si="10"/>
        <v>73775.90000000002</v>
      </c>
    </row>
    <row r="94" spans="1:9" s="128" customFormat="1" ht="18">
      <c r="A94" s="88" t="s">
        <v>23</v>
      </c>
      <c r="B94" s="107">
        <f>1491.9+63.4</f>
        <v>1555.3000000000002</v>
      </c>
      <c r="C94" s="108">
        <v>2704.7</v>
      </c>
      <c r="D94" s="90">
        <f>10+5.9+981.6+112.5+3.5+4.3+3+9.2+59.4+52.3+6.5+0.9+71.3+23+0.6+0.1+65.9+1.9-0.1+0.8</f>
        <v>1412.6000000000001</v>
      </c>
      <c r="E94" s="92">
        <f>D94/D92*100</f>
        <v>1.0319709359112885</v>
      </c>
      <c r="F94" s="92">
        <f t="shared" si="11"/>
        <v>90.82492123706038</v>
      </c>
      <c r="G94" s="92">
        <f t="shared" si="9"/>
        <v>52.22760380079122</v>
      </c>
      <c r="H94" s="90">
        <f t="shared" si="12"/>
        <v>142.70000000000005</v>
      </c>
      <c r="I94" s="90">
        <f t="shared" si="10"/>
        <v>1292.0999999999997</v>
      </c>
    </row>
    <row r="95" spans="1:9" s="128" customFormat="1" ht="18" hidden="1">
      <c r="A95" s="88" t="s">
        <v>12</v>
      </c>
      <c r="B95" s="107"/>
      <c r="C95" s="108"/>
      <c r="D95" s="108"/>
      <c r="E95" s="109">
        <f>D95/D92*100</f>
        <v>0</v>
      </c>
      <c r="F95" s="92"/>
      <c r="G95" s="92" t="e">
        <f t="shared" si="9"/>
        <v>#DIV/0!</v>
      </c>
      <c r="H95" s="90">
        <f t="shared" si="12"/>
        <v>0</v>
      </c>
      <c r="I95" s="90">
        <f t="shared" si="10"/>
        <v>0</v>
      </c>
    </row>
    <row r="96" spans="1:9" s="128" customFormat="1" ht="18.75" thickBot="1">
      <c r="A96" s="88" t="s">
        <v>25</v>
      </c>
      <c r="B96" s="108">
        <f>B92-B93-B94-B95</f>
        <v>7162.800000000006</v>
      </c>
      <c r="C96" s="108">
        <f>C92-C93-C94-C95</f>
        <v>10726.899999999976</v>
      </c>
      <c r="D96" s="108">
        <f>D92-D93-D94-D95</f>
        <v>5456.299999999994</v>
      </c>
      <c r="E96" s="92">
        <f>D96/D92*100</f>
        <v>3.9860845374577063</v>
      </c>
      <c r="F96" s="92">
        <f t="shared" si="11"/>
        <v>76.17551795387264</v>
      </c>
      <c r="G96" s="92">
        <f>D96/C96*100</f>
        <v>50.86558092272703</v>
      </c>
      <c r="H96" s="90">
        <f t="shared" si="12"/>
        <v>1706.5000000000118</v>
      </c>
      <c r="I96" s="90">
        <f>C96-D96</f>
        <v>5270.599999999982</v>
      </c>
    </row>
    <row r="97" spans="1:10" ht="18.75">
      <c r="A97" s="74" t="s">
        <v>10</v>
      </c>
      <c r="B97" s="82">
        <f>69783.4-48+304.2+6237.2-430</f>
        <v>75846.79999999999</v>
      </c>
      <c r="C97" s="77">
        <f>83543+41100+1904.1+3500+20+3672-160</f>
        <v>133579.1</v>
      </c>
      <c r="D97" s="76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+1664.5-161+3.2+83.7+1947.1+120.8+2138.3+316.7+8.7+5.2+1499.8+122.3+322.5+1155.2+3979.5+154.8+10.6+1044.8+1881.1+370.4+1.1+1009.2+390.7+32.1-0.1+617.8+130.2+1118.7+594.6+3.2+899+638.4+352.1</f>
        <v>65967.19999999998</v>
      </c>
      <c r="E97" s="73">
        <f>D97/D156*100</f>
        <v>4.274407327473753</v>
      </c>
      <c r="F97" s="75">
        <f t="shared" si="11"/>
        <v>86.97426918472499</v>
      </c>
      <c r="G97" s="72">
        <f>D97/C97*100</f>
        <v>49.38437225583941</v>
      </c>
      <c r="H97" s="76">
        <f t="shared" si="12"/>
        <v>9879.600000000006</v>
      </c>
      <c r="I97" s="78">
        <f>C97-D97</f>
        <v>67611.90000000002</v>
      </c>
      <c r="J97" s="128"/>
    </row>
    <row r="98" spans="1:9" s="128" customFormat="1" ht="18.75" thickBot="1">
      <c r="A98" s="110" t="s">
        <v>81</v>
      </c>
      <c r="B98" s="111">
        <f>10970.9-457.8</f>
        <v>10513.1</v>
      </c>
      <c r="C98" s="112">
        <f>16376.6</f>
        <v>16376.6</v>
      </c>
      <c r="D98" s="113">
        <f>101+2.6+598.7+1.6+2603.8+3.8+0.7+1149.5+2.1+129.3+1033.7+0.3+164.7+461.5+907.4+167.5+105.4+83.7+677.1+35.3+47.9+8.7+62.1+35+659.5+47.8+1.1+7.6+40</f>
        <v>9139.4</v>
      </c>
      <c r="E98" s="114">
        <f>D98/D97*100</f>
        <v>13.854461004863024</v>
      </c>
      <c r="F98" s="115">
        <f t="shared" si="11"/>
        <v>86.93344494012231</v>
      </c>
      <c r="G98" s="116">
        <f>D98/C98*100</f>
        <v>55.807676807151665</v>
      </c>
      <c r="H98" s="117">
        <f t="shared" si="12"/>
        <v>1373.7000000000007</v>
      </c>
      <c r="I98" s="106">
        <f>C98-D98</f>
        <v>7237.200000000001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28"/>
    </row>
    <row r="100" spans="1:10" ht="19.5" hidden="1" thickBot="1">
      <c r="A100" s="23" t="s">
        <v>35</v>
      </c>
      <c r="B100" s="54"/>
      <c r="C100" s="55"/>
      <c r="D100" s="56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28"/>
    </row>
    <row r="101" spans="1:10" ht="5.25" customHeight="1" hidden="1" thickBot="1">
      <c r="A101" s="22"/>
      <c r="B101" s="51"/>
      <c r="C101" s="52"/>
      <c r="D101" s="53"/>
      <c r="E101" s="12"/>
      <c r="F101" s="6"/>
      <c r="G101" s="6"/>
      <c r="H101" s="48"/>
      <c r="I101" s="130"/>
      <c r="J101" s="128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26"/>
    </row>
    <row r="103" spans="1:10" ht="6.75" customHeight="1" hidden="1" thickBot="1">
      <c r="A103" s="131"/>
      <c r="B103" s="132"/>
      <c r="C103" s="52"/>
      <c r="D103" s="53"/>
      <c r="E103" s="12"/>
      <c r="F103" s="6"/>
      <c r="G103" s="6"/>
      <c r="H103" s="48"/>
      <c r="I103" s="130"/>
      <c r="J103" s="128"/>
    </row>
    <row r="104" spans="1:10" s="29" customFormat="1" ht="19.5" thickBot="1">
      <c r="A104" s="11" t="s">
        <v>9</v>
      </c>
      <c r="B104" s="81">
        <v>49629.5</v>
      </c>
      <c r="C104" s="64">
        <f>73778+7.6+15.1-60.1+7.6-42.3+7.6+46-0.1</f>
        <v>73759.40000000001</v>
      </c>
      <c r="D104" s="60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+610.3+196.5+53.2+1580.1+1.8+275.5+317+1.4+24.8+61.7+64.6+204.3+1642.8+28.7+69.7+68.1+104.5+15+43.1+17.1+2.4+44.6+168.9+2012.4+101.5+4+60-0.1+215.1+41.8+48+5.7+1831.2+541.9+2009.6+34+4</f>
        <v>42248.200000000004</v>
      </c>
      <c r="E104" s="16">
        <f>D104/D156*100</f>
        <v>2.7375122129266773</v>
      </c>
      <c r="F104" s="16">
        <f>D104/B104*100</f>
        <v>85.12719249639832</v>
      </c>
      <c r="G104" s="16">
        <f aca="true" t="shared" si="13" ref="G104:G154">D104/C104*100</f>
        <v>57.278394347025596</v>
      </c>
      <c r="H104" s="60">
        <f aca="true" t="shared" si="14" ref="H104:H154">B104-D104</f>
        <v>7381.299999999996</v>
      </c>
      <c r="I104" s="60">
        <f aca="true" t="shared" si="15" ref="I104:I154">C104-D104</f>
        <v>31511.200000000004</v>
      </c>
      <c r="J104" s="83"/>
    </row>
    <row r="105" spans="1:9" s="128" customFormat="1" ht="18.75" customHeight="1">
      <c r="A105" s="88" t="s">
        <v>3</v>
      </c>
      <c r="B105" s="99">
        <f>10543.8+2317.2-B61-B47</f>
        <v>326.1999999999989</v>
      </c>
      <c r="C105" s="100">
        <v>543.6</v>
      </c>
      <c r="D105" s="100">
        <f>19.3+40.4+6+27+20.5+24.8+29.6+28.9+1.8</f>
        <v>198.3</v>
      </c>
      <c r="E105" s="101">
        <f>D105/D104*100</f>
        <v>0.4693691092164873</v>
      </c>
      <c r="F105" s="92">
        <f>D105/B105*100</f>
        <v>60.79092581238525</v>
      </c>
      <c r="G105" s="101">
        <f>D105/C105*100</f>
        <v>36.47902869757175</v>
      </c>
      <c r="H105" s="100">
        <f t="shared" si="14"/>
        <v>127.8999999999989</v>
      </c>
      <c r="I105" s="100">
        <f t="shared" si="15"/>
        <v>345.3</v>
      </c>
    </row>
    <row r="106" spans="1:9" s="128" customFormat="1" ht="18">
      <c r="A106" s="102" t="s">
        <v>46</v>
      </c>
      <c r="B106" s="89">
        <v>44319.2</v>
      </c>
      <c r="C106" s="90">
        <f>65554.9+7.6+15.1-60.1+45.6-3+37.7+7.6-160-18.9</f>
        <v>65426.50000000001</v>
      </c>
      <c r="D106" s="90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+70.5+176+24.3+1559.4+1.8+223.8+10+38.2+317-9.8+1.4+24.8+61.7+20.4+193+1642.8+28.7+69.7+9.6+104.5-0.1+15+15.6+17.1+15+131.7+1979+72+4.06+59.8-0.1+32.8+136.3+41.8+37.1+5.7+1831.2+2+1935+15.5+4</f>
        <v>38261.860000000015</v>
      </c>
      <c r="E106" s="92">
        <f>D106/D104*100</f>
        <v>90.56447375272796</v>
      </c>
      <c r="F106" s="92">
        <f aca="true" t="shared" si="16" ref="F106:F154">D106/B106*100</f>
        <v>86.33246990017874</v>
      </c>
      <c r="G106" s="92">
        <f t="shared" si="13"/>
        <v>58.48067678998573</v>
      </c>
      <c r="H106" s="90">
        <f t="shared" si="14"/>
        <v>6057.339999999982</v>
      </c>
      <c r="I106" s="90">
        <f t="shared" si="15"/>
        <v>27164.639999999992</v>
      </c>
    </row>
    <row r="107" spans="1:9" s="128" customFormat="1" ht="54.75" hidden="1" thickBot="1">
      <c r="A107" s="103" t="s">
        <v>77</v>
      </c>
      <c r="B107" s="104"/>
      <c r="C107" s="104"/>
      <c r="D107" s="104"/>
      <c r="E107" s="105">
        <f>D107/D104*100</f>
        <v>0</v>
      </c>
      <c r="F107" s="105" t="e">
        <f>D107/B107*100</f>
        <v>#DIV/0!</v>
      </c>
      <c r="G107" s="105" t="e">
        <f>D107/C107*100</f>
        <v>#DIV/0!</v>
      </c>
      <c r="H107" s="106">
        <f t="shared" si="14"/>
        <v>0</v>
      </c>
      <c r="I107" s="106">
        <f>C107-D107</f>
        <v>0</v>
      </c>
    </row>
    <row r="108" spans="1:9" s="128" customFormat="1" ht="18.75" thickBot="1">
      <c r="A108" s="103" t="s">
        <v>25</v>
      </c>
      <c r="B108" s="104">
        <f>B104-B105-B106</f>
        <v>4984.100000000006</v>
      </c>
      <c r="C108" s="104">
        <f>C104-C105-C106</f>
        <v>7789.299999999996</v>
      </c>
      <c r="D108" s="104">
        <f>D104-D105-D106</f>
        <v>3788.0399999999863</v>
      </c>
      <c r="E108" s="105">
        <f>D108/D104*100</f>
        <v>8.966157138055554</v>
      </c>
      <c r="F108" s="105">
        <f t="shared" si="16"/>
        <v>76.00248791155839</v>
      </c>
      <c r="G108" s="105">
        <f t="shared" si="13"/>
        <v>48.63132759041234</v>
      </c>
      <c r="H108" s="166">
        <f t="shared" si="14"/>
        <v>1196.0600000000195</v>
      </c>
      <c r="I108" s="106">
        <f t="shared" si="15"/>
        <v>4001.2600000000093</v>
      </c>
    </row>
    <row r="109" spans="1:10" s="2" customFormat="1" ht="26.25" customHeight="1" thickBot="1">
      <c r="A109" s="61" t="s">
        <v>26</v>
      </c>
      <c r="B109" s="62">
        <f>SUM(B110:B153)-B117-B122+B154-B144-B145-B111-B114-B125-B126-B142-B135-B133-B140-B120</f>
        <v>398964.39999999997</v>
      </c>
      <c r="C109" s="62">
        <f>SUM(C110:C153)-C117-C122+C154-C144-C145-C111-C114-C125-C126-C142-C135-C133-C140-C120</f>
        <v>637096</v>
      </c>
      <c r="D109" s="62">
        <f>SUM(D110:D153)-D117-D122+D154-D144-D145-D111-D114-D125-D126-D142-D135-D133-D140-D120</f>
        <v>388987.21979000006</v>
      </c>
      <c r="E109" s="63">
        <f>D109/D156*100</f>
        <v>25.20479605870827</v>
      </c>
      <c r="F109" s="63">
        <f>D109/B109*100</f>
        <v>97.4992304551484</v>
      </c>
      <c r="G109" s="63">
        <f t="shared" si="13"/>
        <v>61.056296035448355</v>
      </c>
      <c r="H109" s="62">
        <f t="shared" si="14"/>
        <v>9977.180209999904</v>
      </c>
      <c r="I109" s="62">
        <f t="shared" si="15"/>
        <v>248108.78020999994</v>
      </c>
      <c r="J109" s="96"/>
    </row>
    <row r="110" spans="1:9" s="128" customFormat="1" ht="37.5">
      <c r="A110" s="143" t="s">
        <v>50</v>
      </c>
      <c r="B110" s="144">
        <v>2774</v>
      </c>
      <c r="C110" s="124">
        <v>4983.7</v>
      </c>
      <c r="D110" s="84">
        <f>1.8+140.5+138.5+0.9+33+80.9+13.3+0.1+53.3+109+1.4+124.9+19.8+24.9+9+3.6+91.3+61.8+18.7+59+14.7+34.7+0.1+2.2+3.8+2.1+129.5+15.3+0.5-0.3+15.6+0.9+145.2+1.4+33.8+73+26.3+109.9+61.1+11.7+3.2-0.1+0.6+6.1+144.6+0.5+9.9+3.3</f>
        <v>1835.2999999999997</v>
      </c>
      <c r="E110" s="85">
        <f>D110/D109*100</f>
        <v>0.47181498687561274</v>
      </c>
      <c r="F110" s="85">
        <f t="shared" si="16"/>
        <v>66.1607786589762</v>
      </c>
      <c r="G110" s="85">
        <f t="shared" si="13"/>
        <v>36.826052932560145</v>
      </c>
      <c r="H110" s="86">
        <f t="shared" si="14"/>
        <v>938.7000000000003</v>
      </c>
      <c r="I110" s="86">
        <f t="shared" si="15"/>
        <v>3148.4</v>
      </c>
    </row>
    <row r="111" spans="1:9" s="128" customFormat="1" ht="18">
      <c r="A111" s="88" t="s">
        <v>23</v>
      </c>
      <c r="B111" s="89">
        <v>1272.7</v>
      </c>
      <c r="C111" s="90">
        <v>2332.2</v>
      </c>
      <c r="D111" s="91">
        <f>2.4+138.5+0.9+33.1+80.9+53.3+1.8+1.1+124.9+24.9+6.2+38.5+59+14.7+33.9+0.6+2.3+35.5+60-0.1+40.7</f>
        <v>753.1</v>
      </c>
      <c r="E111" s="92">
        <f>D111/D110*100</f>
        <v>41.03416335204055</v>
      </c>
      <c r="F111" s="92">
        <f t="shared" si="16"/>
        <v>59.17341085880412</v>
      </c>
      <c r="G111" s="92">
        <f t="shared" si="13"/>
        <v>32.29139867935855</v>
      </c>
      <c r="H111" s="90">
        <f t="shared" si="14"/>
        <v>519.6</v>
      </c>
      <c r="I111" s="90">
        <f t="shared" si="15"/>
        <v>1579.1</v>
      </c>
    </row>
    <row r="112" spans="1:9" s="128" customFormat="1" ht="34.5" customHeight="1" hidden="1">
      <c r="A112" s="145" t="s">
        <v>76</v>
      </c>
      <c r="B112" s="146"/>
      <c r="C112" s="86"/>
      <c r="D112" s="84"/>
      <c r="E112" s="85">
        <f>D112/D109*100</f>
        <v>0</v>
      </c>
      <c r="F112" s="85" t="e">
        <f>D112/B112*100</f>
        <v>#DIV/0!</v>
      </c>
      <c r="G112" s="85" t="e">
        <f t="shared" si="13"/>
        <v>#DIV/0!</v>
      </c>
      <c r="H112" s="86">
        <f t="shared" si="14"/>
        <v>0</v>
      </c>
      <c r="I112" s="86">
        <f t="shared" si="15"/>
        <v>0</v>
      </c>
    </row>
    <row r="113" spans="1:9" s="83" customFormat="1" ht="34.5" customHeight="1">
      <c r="A113" s="145" t="s">
        <v>91</v>
      </c>
      <c r="B113" s="146">
        <v>100</v>
      </c>
      <c r="C113" s="93">
        <v>300</v>
      </c>
      <c r="D113" s="94"/>
      <c r="E113" s="85">
        <f>D113/D109*100</f>
        <v>0</v>
      </c>
      <c r="F113" s="85">
        <f t="shared" si="16"/>
        <v>0</v>
      </c>
      <c r="G113" s="85">
        <f t="shared" si="13"/>
        <v>0</v>
      </c>
      <c r="H113" s="86">
        <f t="shared" si="14"/>
        <v>100</v>
      </c>
      <c r="I113" s="86">
        <f t="shared" si="15"/>
        <v>300</v>
      </c>
    </row>
    <row r="114" spans="1:9" s="128" customFormat="1" ht="18.75" customHeight="1" hidden="1">
      <c r="A114" s="88" t="s">
        <v>23</v>
      </c>
      <c r="B114" s="89"/>
      <c r="C114" s="90"/>
      <c r="D114" s="91"/>
      <c r="E114" s="92"/>
      <c r="F114" s="92" t="e">
        <f t="shared" si="16"/>
        <v>#DIV/0!</v>
      </c>
      <c r="G114" s="92" t="e">
        <f t="shared" si="13"/>
        <v>#DIV/0!</v>
      </c>
      <c r="H114" s="90">
        <f t="shared" si="14"/>
        <v>0</v>
      </c>
      <c r="I114" s="90">
        <f t="shared" si="15"/>
        <v>0</v>
      </c>
    </row>
    <row r="115" spans="1:9" s="128" customFormat="1" ht="18.75" customHeight="1" hidden="1">
      <c r="A115" s="145" t="s">
        <v>87</v>
      </c>
      <c r="B115" s="146"/>
      <c r="C115" s="86"/>
      <c r="D115" s="84"/>
      <c r="E115" s="85">
        <f>D115/D109*100</f>
        <v>0</v>
      </c>
      <c r="F115" s="85" t="e">
        <f t="shared" si="16"/>
        <v>#DIV/0!</v>
      </c>
      <c r="G115" s="85" t="e">
        <f t="shared" si="13"/>
        <v>#DIV/0!</v>
      </c>
      <c r="H115" s="86">
        <f t="shared" si="14"/>
        <v>0</v>
      </c>
      <c r="I115" s="86">
        <f t="shared" si="15"/>
        <v>0</v>
      </c>
    </row>
    <row r="116" spans="1:11" s="128" customFormat="1" ht="37.5">
      <c r="A116" s="145" t="s">
        <v>36</v>
      </c>
      <c r="B116" s="146">
        <f>3469.6+435.3</f>
        <v>3904.9</v>
      </c>
      <c r="C116" s="86">
        <v>5785.2</v>
      </c>
      <c r="D116" s="84">
        <f>187.7+10.4+531.5+38.4+44.9+0.1+53.3+13.7+14.6+4.3+409.7+22.6+33.2+12.9+10.1+431+0.1+44.6+9.7+432.7+17.3+360.1+31.7-0.1+261.4+138.4+11.8+4.8</f>
        <v>3130.9</v>
      </c>
      <c r="E116" s="85">
        <f>D116/D109*100</f>
        <v>0.8048850555270834</v>
      </c>
      <c r="F116" s="85">
        <f t="shared" si="16"/>
        <v>80.17874977592257</v>
      </c>
      <c r="G116" s="85">
        <f t="shared" si="13"/>
        <v>54.119131577127845</v>
      </c>
      <c r="H116" s="86">
        <f t="shared" si="14"/>
        <v>774</v>
      </c>
      <c r="I116" s="86">
        <f t="shared" si="15"/>
        <v>2654.2999999999997</v>
      </c>
      <c r="K116" s="150">
        <f>H124+H143</f>
        <v>300.5999999999997</v>
      </c>
    </row>
    <row r="117" spans="1:9" s="128" customFormat="1" ht="18" hidden="1">
      <c r="A117" s="147" t="s">
        <v>41</v>
      </c>
      <c r="B117" s="89"/>
      <c r="C117" s="90"/>
      <c r="D117" s="91"/>
      <c r="E117" s="85"/>
      <c r="F117" s="85" t="e">
        <f t="shared" si="16"/>
        <v>#DIV/0!</v>
      </c>
      <c r="G117" s="92" t="e">
        <f t="shared" si="13"/>
        <v>#DIV/0!</v>
      </c>
      <c r="H117" s="90">
        <f t="shared" si="14"/>
        <v>0</v>
      </c>
      <c r="I117" s="90">
        <f t="shared" si="15"/>
        <v>0</v>
      </c>
    </row>
    <row r="118" spans="1:9" s="83" customFormat="1" ht="18.75" customHeight="1" hidden="1">
      <c r="A118" s="145" t="s">
        <v>88</v>
      </c>
      <c r="B118" s="146"/>
      <c r="C118" s="93"/>
      <c r="D118" s="94"/>
      <c r="E118" s="95">
        <f>D118/D109*100</f>
        <v>0</v>
      </c>
      <c r="F118" s="85" t="e">
        <f t="shared" si="16"/>
        <v>#DIV/0!</v>
      </c>
      <c r="G118" s="95" t="e">
        <f t="shared" si="13"/>
        <v>#DIV/0!</v>
      </c>
      <c r="H118" s="93">
        <f t="shared" si="14"/>
        <v>0</v>
      </c>
      <c r="I118" s="93">
        <f t="shared" si="15"/>
        <v>0</v>
      </c>
    </row>
    <row r="119" spans="1:9" s="128" customFormat="1" ht="37.5" hidden="1">
      <c r="A119" s="145" t="s">
        <v>45</v>
      </c>
      <c r="B119" s="146"/>
      <c r="C119" s="86"/>
      <c r="D119" s="84"/>
      <c r="E119" s="85">
        <f>D119/D109*100</f>
        <v>0</v>
      </c>
      <c r="F119" s="85" t="e">
        <f>D119/B119*100</f>
        <v>#DIV/0!</v>
      </c>
      <c r="G119" s="85" t="e">
        <f t="shared" si="13"/>
        <v>#DIV/0!</v>
      </c>
      <c r="H119" s="86">
        <f t="shared" si="14"/>
        <v>0</v>
      </c>
      <c r="I119" s="86">
        <f t="shared" si="15"/>
        <v>0</v>
      </c>
    </row>
    <row r="120" spans="1:9" s="128" customFormat="1" ht="18" hidden="1">
      <c r="A120" s="147" t="s">
        <v>86</v>
      </c>
      <c r="B120" s="89"/>
      <c r="C120" s="90"/>
      <c r="D120" s="91"/>
      <c r="E120" s="92" t="e">
        <f>D120/D119*100</f>
        <v>#DIV/0!</v>
      </c>
      <c r="F120" s="92" t="e">
        <f>D120/B120*100</f>
        <v>#DIV/0!</v>
      </c>
      <c r="G120" s="92" t="e">
        <f>D120/C120*100</f>
        <v>#DIV/0!</v>
      </c>
      <c r="H120" s="90">
        <f>B120-D120</f>
        <v>0</v>
      </c>
      <c r="I120" s="90">
        <f>C120-D120</f>
        <v>0</v>
      </c>
    </row>
    <row r="121" spans="1:9" s="96" customFormat="1" ht="18.75">
      <c r="A121" s="145" t="s">
        <v>13</v>
      </c>
      <c r="B121" s="146">
        <f>606.2+21.2</f>
        <v>627.4000000000001</v>
      </c>
      <c r="C121" s="93">
        <v>1024.8</v>
      </c>
      <c r="D121" s="84">
        <f>80.5+0.2+38.8+80.5+0.8+10+10.3+80.5+16.8+0.3+4+80.5+10+10+0.3+0.8+80.5+1.1+1.1+0.2+0.4</f>
        <v>507.6000000000001</v>
      </c>
      <c r="E121" s="85">
        <f>D121/D109*100</f>
        <v>0.13049271908574137</v>
      </c>
      <c r="F121" s="85">
        <f t="shared" si="16"/>
        <v>80.90532355753905</v>
      </c>
      <c r="G121" s="85">
        <f t="shared" si="13"/>
        <v>49.53161592505856</v>
      </c>
      <c r="H121" s="86">
        <f t="shared" si="14"/>
        <v>119.80000000000001</v>
      </c>
      <c r="I121" s="86">
        <f t="shared" si="15"/>
        <v>517.1999999999998</v>
      </c>
    </row>
    <row r="122" spans="1:9" s="97" customFormat="1" ht="18">
      <c r="A122" s="147" t="s">
        <v>41</v>
      </c>
      <c r="B122" s="89">
        <v>402.6</v>
      </c>
      <c r="C122" s="90">
        <v>724.7</v>
      </c>
      <c r="D122" s="91">
        <f>80.5+80.5+80.5+80.5+0.1+80.5</f>
        <v>402.6</v>
      </c>
      <c r="E122" s="92">
        <f>D122/D121*100</f>
        <v>79.3144208037825</v>
      </c>
      <c r="F122" s="92">
        <f t="shared" si="16"/>
        <v>100</v>
      </c>
      <c r="G122" s="92">
        <f t="shared" si="13"/>
        <v>55.554022354077546</v>
      </c>
      <c r="H122" s="90">
        <f t="shared" si="14"/>
        <v>0</v>
      </c>
      <c r="I122" s="90">
        <f t="shared" si="15"/>
        <v>322.1</v>
      </c>
    </row>
    <row r="123" spans="1:9" s="96" customFormat="1" ht="18.75">
      <c r="A123" s="145" t="s">
        <v>102</v>
      </c>
      <c r="B123" s="146">
        <f>195+40</f>
        <v>235</v>
      </c>
      <c r="C123" s="93">
        <v>347</v>
      </c>
      <c r="D123" s="84">
        <f>34.5+13.8+4.3+21.7</f>
        <v>74.3</v>
      </c>
      <c r="E123" s="85">
        <f>D123/D109*100</f>
        <v>0.019100884610068126</v>
      </c>
      <c r="F123" s="85">
        <f t="shared" si="16"/>
        <v>31.617021276595743</v>
      </c>
      <c r="G123" s="85">
        <f t="shared" si="13"/>
        <v>21.412103746397694</v>
      </c>
      <c r="H123" s="86">
        <f t="shared" si="14"/>
        <v>160.7</v>
      </c>
      <c r="I123" s="86">
        <f t="shared" si="15"/>
        <v>272.7</v>
      </c>
    </row>
    <row r="124" spans="1:9" s="96" customFormat="1" ht="21.75" customHeight="1">
      <c r="A124" s="145" t="s">
        <v>92</v>
      </c>
      <c r="B124" s="146">
        <f>841.8-600+100</f>
        <v>341.79999999999995</v>
      </c>
      <c r="C124" s="93">
        <f>86+920</f>
        <v>1006</v>
      </c>
      <c r="D124" s="94">
        <f>54.4+15.9+15.6+12.1</f>
        <v>97.99999999999999</v>
      </c>
      <c r="E124" s="95">
        <f>D124/D109*100</f>
        <v>0.025193629768326734</v>
      </c>
      <c r="F124" s="85">
        <f t="shared" si="16"/>
        <v>28.671737858396725</v>
      </c>
      <c r="G124" s="85">
        <f t="shared" si="13"/>
        <v>9.741550695825048</v>
      </c>
      <c r="H124" s="86">
        <f t="shared" si="14"/>
        <v>243.79999999999995</v>
      </c>
      <c r="I124" s="86">
        <f t="shared" si="15"/>
        <v>908</v>
      </c>
    </row>
    <row r="125" spans="1:9" s="98" customFormat="1" ht="18" hidden="1">
      <c r="A125" s="88" t="s">
        <v>78</v>
      </c>
      <c r="B125" s="89"/>
      <c r="C125" s="90"/>
      <c r="D125" s="91"/>
      <c r="E125" s="85"/>
      <c r="F125" s="92" t="e">
        <f>D125/B125*100</f>
        <v>#DIV/0!</v>
      </c>
      <c r="G125" s="92" t="e">
        <f t="shared" si="13"/>
        <v>#DIV/0!</v>
      </c>
      <c r="H125" s="90">
        <f t="shared" si="14"/>
        <v>0</v>
      </c>
      <c r="I125" s="90">
        <f t="shared" si="15"/>
        <v>0</v>
      </c>
    </row>
    <row r="126" spans="1:9" s="98" customFormat="1" ht="18" hidden="1">
      <c r="A126" s="88" t="s">
        <v>47</v>
      </c>
      <c r="B126" s="89"/>
      <c r="C126" s="90"/>
      <c r="D126" s="91"/>
      <c r="E126" s="85"/>
      <c r="F126" s="92" t="e">
        <f>D126/B126*100</f>
        <v>#DIV/0!</v>
      </c>
      <c r="G126" s="92" t="e">
        <f t="shared" si="13"/>
        <v>#DIV/0!</v>
      </c>
      <c r="H126" s="90">
        <f t="shared" si="14"/>
        <v>0</v>
      </c>
      <c r="I126" s="90">
        <f t="shared" si="15"/>
        <v>0</v>
      </c>
    </row>
    <row r="127" spans="1:13" s="157" customFormat="1" ht="37.5">
      <c r="A127" s="158" t="s">
        <v>93</v>
      </c>
      <c r="B127" s="151">
        <f>14461.8-150-6.2</f>
        <v>14305.599999999999</v>
      </c>
      <c r="C127" s="159">
        <f>6156.2+17413.5-8000</f>
        <v>15569.7</v>
      </c>
      <c r="D127" s="160">
        <f>871.9+408.1+585.9+900.5+901.8+879.7+893+994.8+887.7+852.4+0.1+789.7+988.1+754.9+941.7+788.3+949.6+785.4</f>
        <v>14173.6</v>
      </c>
      <c r="E127" s="161">
        <f>D127/D109*100</f>
        <v>3.643718682493427</v>
      </c>
      <c r="F127" s="162">
        <f t="shared" si="16"/>
        <v>99.07728442008725</v>
      </c>
      <c r="G127" s="162">
        <f t="shared" si="13"/>
        <v>91.03322478917384</v>
      </c>
      <c r="H127" s="163">
        <f t="shared" si="14"/>
        <v>131.99999999999818</v>
      </c>
      <c r="I127" s="163">
        <f t="shared" si="15"/>
        <v>1396.1000000000004</v>
      </c>
      <c r="J127" s="164"/>
      <c r="K127" s="165">
        <f>H110+H113+H116+H121+H123+H129+H130+H132+H134+H138+H139+H141+H150+H70+H128</f>
        <v>3511.9653799999996</v>
      </c>
      <c r="L127" s="164"/>
      <c r="M127" s="164"/>
    </row>
    <row r="128" spans="1:11" s="96" customFormat="1" ht="18.75">
      <c r="A128" s="145" t="s">
        <v>89</v>
      </c>
      <c r="B128" s="146">
        <v>96</v>
      </c>
      <c r="C128" s="93">
        <v>150</v>
      </c>
      <c r="D128" s="94"/>
      <c r="E128" s="95">
        <f>D128/D109*100</f>
        <v>0</v>
      </c>
      <c r="F128" s="85">
        <f t="shared" si="16"/>
        <v>0</v>
      </c>
      <c r="G128" s="85">
        <f t="shared" si="13"/>
        <v>0</v>
      </c>
      <c r="H128" s="86">
        <f t="shared" si="14"/>
        <v>96</v>
      </c>
      <c r="I128" s="86">
        <f t="shared" si="15"/>
        <v>150</v>
      </c>
      <c r="K128" s="87">
        <f>H111+H142</f>
        <v>639.5</v>
      </c>
    </row>
    <row r="129" spans="1:13" s="96" customFormat="1" ht="37.5">
      <c r="A129" s="145" t="s">
        <v>98</v>
      </c>
      <c r="B129" s="146">
        <v>483</v>
      </c>
      <c r="C129" s="93">
        <v>483</v>
      </c>
      <c r="D129" s="94">
        <f>2.2+72.4</f>
        <v>74.60000000000001</v>
      </c>
      <c r="E129" s="95">
        <f>D129/D109*100</f>
        <v>0.019178007966501782</v>
      </c>
      <c r="F129" s="85">
        <f t="shared" si="16"/>
        <v>15.44513457556936</v>
      </c>
      <c r="G129" s="85">
        <f t="shared" si="13"/>
        <v>15.44513457556936</v>
      </c>
      <c r="H129" s="86">
        <f t="shared" si="14"/>
        <v>408.4</v>
      </c>
      <c r="I129" s="86">
        <f t="shared" si="15"/>
        <v>408.4</v>
      </c>
      <c r="K129" s="87">
        <f>H133+H140</f>
        <v>361.3999999999999</v>
      </c>
      <c r="M129" s="87"/>
    </row>
    <row r="130" spans="1:13" s="96" customFormat="1" ht="37.5" hidden="1">
      <c r="A130" s="145" t="s">
        <v>83</v>
      </c>
      <c r="B130" s="146">
        <f>154.3-154.3</f>
        <v>0</v>
      </c>
      <c r="C130" s="93">
        <f>154.3-154.3</f>
        <v>0</v>
      </c>
      <c r="D130" s="94"/>
      <c r="E130" s="95">
        <f>D130/D109*100</f>
        <v>0</v>
      </c>
      <c r="F130" s="85" t="e">
        <f t="shared" si="16"/>
        <v>#DIV/0!</v>
      </c>
      <c r="G130" s="85" t="e">
        <f t="shared" si="13"/>
        <v>#DIV/0!</v>
      </c>
      <c r="H130" s="86">
        <f t="shared" si="14"/>
        <v>0</v>
      </c>
      <c r="I130" s="86">
        <f t="shared" si="15"/>
        <v>0</v>
      </c>
      <c r="M130" s="87"/>
    </row>
    <row r="131" spans="1:9" s="96" customFormat="1" ht="18.75" hidden="1">
      <c r="A131" s="147" t="s">
        <v>81</v>
      </c>
      <c r="B131" s="146"/>
      <c r="C131" s="93"/>
      <c r="D131" s="94"/>
      <c r="E131" s="95">
        <f>D131/D110*100</f>
        <v>0</v>
      </c>
      <c r="F131" s="85" t="e">
        <f t="shared" si="16"/>
        <v>#DIV/0!</v>
      </c>
      <c r="G131" s="85" t="e">
        <f t="shared" si="13"/>
        <v>#DIV/0!</v>
      </c>
      <c r="H131" s="86">
        <f t="shared" si="14"/>
        <v>0</v>
      </c>
      <c r="I131" s="86">
        <f t="shared" si="15"/>
        <v>0</v>
      </c>
    </row>
    <row r="132" spans="1:13" s="96" customFormat="1" ht="37.5">
      <c r="A132" s="145" t="s">
        <v>55</v>
      </c>
      <c r="B132" s="146">
        <f>382+236.9</f>
        <v>618.9</v>
      </c>
      <c r="C132" s="93">
        <v>1003.9</v>
      </c>
      <c r="D132" s="94">
        <f>7.7+12.9+7.7+2.8+0.3+0.9+48+9.2+16+18.7+7+7.7+1.3+0.4+12+8.8+4.3+4.6+2.7+28.5+7.2+7.7-0.1</f>
        <v>216.3</v>
      </c>
      <c r="E132" s="95">
        <f>D132/D109*100</f>
        <v>0.05560593998866401</v>
      </c>
      <c r="F132" s="85">
        <f t="shared" si="16"/>
        <v>34.949103247697536</v>
      </c>
      <c r="G132" s="85">
        <f t="shared" si="13"/>
        <v>21.545970714214565</v>
      </c>
      <c r="H132" s="86">
        <f t="shared" si="14"/>
        <v>402.59999999999997</v>
      </c>
      <c r="I132" s="86">
        <f t="shared" si="15"/>
        <v>787.5999999999999</v>
      </c>
      <c r="M132" s="87"/>
    </row>
    <row r="133" spans="1:13" s="97" customFormat="1" ht="18">
      <c r="A133" s="88" t="s">
        <v>86</v>
      </c>
      <c r="B133" s="89">
        <f>181.7+202.6</f>
        <v>384.29999999999995</v>
      </c>
      <c r="C133" s="90">
        <v>553.3</v>
      </c>
      <c r="D133" s="91">
        <f>7.7+48+7.7+7.7+7.7+7.7+7.7-0.1</f>
        <v>94.10000000000002</v>
      </c>
      <c r="E133" s="92">
        <f>D133/D132*100</f>
        <v>43.50439204808138</v>
      </c>
      <c r="F133" s="92">
        <f>D133/B133*100</f>
        <v>24.486078584439248</v>
      </c>
      <c r="G133" s="92">
        <f t="shared" si="13"/>
        <v>17.007048617386594</v>
      </c>
      <c r="H133" s="90">
        <f t="shared" si="14"/>
        <v>290.19999999999993</v>
      </c>
      <c r="I133" s="90">
        <f t="shared" si="15"/>
        <v>459.19999999999993</v>
      </c>
      <c r="M133" s="121"/>
    </row>
    <row r="134" spans="1:9" s="96" customFormat="1" ht="37.5">
      <c r="A134" s="145" t="s">
        <v>101</v>
      </c>
      <c r="B134" s="146">
        <f>75+25</f>
        <v>100</v>
      </c>
      <c r="C134" s="93">
        <v>250</v>
      </c>
      <c r="D134" s="94">
        <v>9.6</v>
      </c>
      <c r="E134" s="95">
        <f>D134/D109*100</f>
        <v>0.0024679474058769044</v>
      </c>
      <c r="F134" s="85">
        <f t="shared" si="16"/>
        <v>9.6</v>
      </c>
      <c r="G134" s="85">
        <f t="shared" si="13"/>
        <v>3.84</v>
      </c>
      <c r="H134" s="86">
        <f t="shared" si="14"/>
        <v>90.4</v>
      </c>
      <c r="I134" s="86">
        <f t="shared" si="15"/>
        <v>240.4</v>
      </c>
    </row>
    <row r="135" spans="1:9" s="97" customFormat="1" ht="18" hidden="1">
      <c r="A135" s="147" t="s">
        <v>41</v>
      </c>
      <c r="B135" s="89"/>
      <c r="C135" s="90"/>
      <c r="D135" s="91"/>
      <c r="E135" s="92"/>
      <c r="F135" s="92" t="e">
        <f>D135/B135*100</f>
        <v>#DIV/0!</v>
      </c>
      <c r="G135" s="92" t="e">
        <f t="shared" si="13"/>
        <v>#DIV/0!</v>
      </c>
      <c r="H135" s="90">
        <f t="shared" si="14"/>
        <v>0</v>
      </c>
      <c r="I135" s="90">
        <f t="shared" si="15"/>
        <v>0</v>
      </c>
    </row>
    <row r="136" spans="1:9" s="96" customFormat="1" ht="35.25" customHeight="1" hidden="1">
      <c r="A136" s="145" t="s">
        <v>100</v>
      </c>
      <c r="B136" s="146"/>
      <c r="C136" s="93"/>
      <c r="D136" s="94"/>
      <c r="E136" s="95">
        <f>D136/D109*100</f>
        <v>0</v>
      </c>
      <c r="F136" s="85" t="e">
        <f t="shared" si="16"/>
        <v>#DIV/0!</v>
      </c>
      <c r="G136" s="85" t="e">
        <f t="shared" si="13"/>
        <v>#DIV/0!</v>
      </c>
      <c r="H136" s="86">
        <f t="shared" si="14"/>
        <v>0</v>
      </c>
      <c r="I136" s="86">
        <f>C136-D136</f>
        <v>0</v>
      </c>
    </row>
    <row r="137" spans="1:9" s="96" customFormat="1" ht="21.75" customHeight="1" hidden="1">
      <c r="A137" s="145" t="s">
        <v>99</v>
      </c>
      <c r="B137" s="146"/>
      <c r="C137" s="93"/>
      <c r="D137" s="94"/>
      <c r="E137" s="95">
        <f>D137/D109*100</f>
        <v>0</v>
      </c>
      <c r="F137" s="85" t="e">
        <f t="shared" si="16"/>
        <v>#DIV/0!</v>
      </c>
      <c r="G137" s="85" t="e">
        <f t="shared" si="13"/>
        <v>#DIV/0!</v>
      </c>
      <c r="H137" s="86">
        <f t="shared" si="14"/>
        <v>0</v>
      </c>
      <c r="I137" s="86">
        <f t="shared" si="15"/>
        <v>0</v>
      </c>
    </row>
    <row r="138" spans="1:9" s="96" customFormat="1" ht="35.25" customHeight="1">
      <c r="A138" s="145" t="s">
        <v>85</v>
      </c>
      <c r="B138" s="151">
        <f>1729.7-700+247.1-100-180</f>
        <v>996.8</v>
      </c>
      <c r="C138" s="93">
        <v>2964.5</v>
      </c>
      <c r="D138" s="94">
        <f>203+174+113.5+76.2+55.5+17.2+64.2+103.9+40.9+12.5+10.2+13.3+28.3+0.1+10.1+19.9+1.8+49.6</f>
        <v>994.2</v>
      </c>
      <c r="E138" s="95">
        <f>D138/D109*100</f>
        <v>0.2555868032211269</v>
      </c>
      <c r="F138" s="85">
        <f t="shared" si="16"/>
        <v>99.73916532905298</v>
      </c>
      <c r="G138" s="85">
        <f t="shared" si="13"/>
        <v>33.536852757631976</v>
      </c>
      <c r="H138" s="86">
        <f t="shared" si="14"/>
        <v>2.599999999999909</v>
      </c>
      <c r="I138" s="86">
        <f t="shared" si="15"/>
        <v>1970.3</v>
      </c>
    </row>
    <row r="139" spans="1:9" s="96" customFormat="1" ht="39" customHeight="1">
      <c r="A139" s="145" t="s">
        <v>52</v>
      </c>
      <c r="B139" s="146">
        <f>190+40</f>
        <v>230</v>
      </c>
      <c r="C139" s="93">
        <v>350</v>
      </c>
      <c r="D139" s="94">
        <f>30+1.3+13+17.4+1.4+1.8-0.1+8+1.1+2.9</f>
        <v>76.8</v>
      </c>
      <c r="E139" s="95">
        <f>D139/D109*100</f>
        <v>0.019743579247015235</v>
      </c>
      <c r="F139" s="85">
        <f t="shared" si="16"/>
        <v>33.391304347826086</v>
      </c>
      <c r="G139" s="85">
        <f t="shared" si="13"/>
        <v>21.942857142857143</v>
      </c>
      <c r="H139" s="86">
        <f t="shared" si="14"/>
        <v>153.2</v>
      </c>
      <c r="I139" s="86">
        <f t="shared" si="15"/>
        <v>273.2</v>
      </c>
    </row>
    <row r="140" spans="1:9" s="97" customFormat="1" ht="18">
      <c r="A140" s="88" t="s">
        <v>86</v>
      </c>
      <c r="B140" s="89">
        <f>65+15</f>
        <v>80</v>
      </c>
      <c r="C140" s="90">
        <v>110</v>
      </c>
      <c r="D140" s="91">
        <f>1.3+0.4+1.4+1.8-0.1+1.1+2.9</f>
        <v>8.8</v>
      </c>
      <c r="E140" s="92"/>
      <c r="F140" s="85">
        <f>D140/B140*100</f>
        <v>11.000000000000002</v>
      </c>
      <c r="G140" s="92">
        <f>D140/C140*100</f>
        <v>8</v>
      </c>
      <c r="H140" s="90">
        <f>B140-D140</f>
        <v>71.2</v>
      </c>
      <c r="I140" s="90">
        <f>C140-D140</f>
        <v>101.2</v>
      </c>
    </row>
    <row r="141" spans="1:9" s="96" customFormat="1" ht="32.25" customHeight="1">
      <c r="A141" s="145" t="s">
        <v>82</v>
      </c>
      <c r="B141" s="146">
        <f>372.9+41.1</f>
        <v>414</v>
      </c>
      <c r="C141" s="93">
        <v>642.9</v>
      </c>
      <c r="D141" s="94">
        <f>3.4+29.8+0.5+0.6+0.5+7+95+1+3.4+1.6+21.9+0.5+0.2+14.5+1.1+4.5+5.3+14.7+1.23462+4.7+11.1+4.8+0.3+0.3+3.4+16.7+0.7</f>
        <v>248.73462</v>
      </c>
      <c r="E141" s="95">
        <f>D141/D109*100</f>
        <v>0.063944162518831</v>
      </c>
      <c r="F141" s="85">
        <f>D141/B141*100</f>
        <v>60.08082608695652</v>
      </c>
      <c r="G141" s="85">
        <f>D141/C141*100</f>
        <v>38.68947270181988</v>
      </c>
      <c r="H141" s="86">
        <f t="shared" si="14"/>
        <v>165.26538</v>
      </c>
      <c r="I141" s="86">
        <f t="shared" si="15"/>
        <v>394.16537999999997</v>
      </c>
    </row>
    <row r="142" spans="1:9" s="97" customFormat="1" ht="18">
      <c r="A142" s="88" t="s">
        <v>23</v>
      </c>
      <c r="B142" s="89">
        <f>302.9+31.1</f>
        <v>334</v>
      </c>
      <c r="C142" s="90">
        <v>524.9</v>
      </c>
      <c r="D142" s="91">
        <f>0.4+29.8+0.5+0.6+95+0.7+18.5+0.5+14.5+1.1+4.5+14.8+1.2+11.1+4.8+0.2+15.2+0.7</f>
        <v>214.09999999999997</v>
      </c>
      <c r="E142" s="92">
        <f>D142/D141*100</f>
        <v>86.07567374416958</v>
      </c>
      <c r="F142" s="92">
        <f t="shared" si="16"/>
        <v>64.10179640718562</v>
      </c>
      <c r="G142" s="92">
        <f>D142/C142*100</f>
        <v>40.78872166126881</v>
      </c>
      <c r="H142" s="90">
        <f t="shared" si="14"/>
        <v>119.90000000000003</v>
      </c>
      <c r="I142" s="90">
        <f t="shared" si="15"/>
        <v>310.8</v>
      </c>
    </row>
    <row r="143" spans="1:9" s="96" customFormat="1" ht="18.75">
      <c r="A143" s="145" t="s">
        <v>94</v>
      </c>
      <c r="B143" s="146">
        <v>1635.3</v>
      </c>
      <c r="C143" s="93">
        <v>2262.8</v>
      </c>
      <c r="D143" s="94">
        <f>33.6+100.1+61.4+1.9+88.9+76.4+140.9+13.9+60.1+109.3+18.6+51.1+12+15.7+91.6+92.9+151.5+21.4+117.4-12.2+110+74.1+147.9</f>
        <v>1578.5000000000002</v>
      </c>
      <c r="E143" s="95">
        <f>D143/D109*100</f>
        <v>0.4057973937684057</v>
      </c>
      <c r="F143" s="85">
        <f t="shared" si="16"/>
        <v>96.52663119916836</v>
      </c>
      <c r="G143" s="85">
        <f t="shared" si="13"/>
        <v>69.75870602793</v>
      </c>
      <c r="H143" s="86">
        <f t="shared" si="14"/>
        <v>56.79999999999973</v>
      </c>
      <c r="I143" s="86">
        <f t="shared" si="15"/>
        <v>684.3</v>
      </c>
    </row>
    <row r="144" spans="1:9" s="97" customFormat="1" ht="18">
      <c r="A144" s="147" t="s">
        <v>41</v>
      </c>
      <c r="B144" s="89">
        <f>1086.2+221.7</f>
        <v>1307.9</v>
      </c>
      <c r="C144" s="90">
        <v>1867.4</v>
      </c>
      <c r="D144" s="91">
        <f>33.6+99.1+51.9+81.4+59+82.2+5.6+57.6+68.8+16.1-2.2+47.6+70.6+83.7+114.7+20.9+115.1+0.1+80.1+70.3+136.9</f>
        <v>1293.1000000000001</v>
      </c>
      <c r="E144" s="92">
        <f>D144/D143*100</f>
        <v>81.91954387076338</v>
      </c>
      <c r="F144" s="92">
        <f t="shared" si="16"/>
        <v>98.86841501643858</v>
      </c>
      <c r="G144" s="92">
        <f t="shared" si="13"/>
        <v>69.24601049587662</v>
      </c>
      <c r="H144" s="90">
        <f t="shared" si="14"/>
        <v>14.799999999999955</v>
      </c>
      <c r="I144" s="90">
        <f t="shared" si="15"/>
        <v>574.3</v>
      </c>
    </row>
    <row r="145" spans="1:9" s="97" customFormat="1" ht="18">
      <c r="A145" s="88" t="s">
        <v>23</v>
      </c>
      <c r="B145" s="89">
        <f>29.1+0.6</f>
        <v>29.700000000000003</v>
      </c>
      <c r="C145" s="90">
        <v>48</v>
      </c>
      <c r="D145" s="91">
        <f>9.3+7.4+6+0.1+2.5+0.1+0.1+1+0.5+0.4</f>
        <v>27.400000000000006</v>
      </c>
      <c r="E145" s="92">
        <f>D145/D143*100</f>
        <v>1.735825150459297</v>
      </c>
      <c r="F145" s="92">
        <f t="shared" si="16"/>
        <v>92.25589225589226</v>
      </c>
      <c r="G145" s="92">
        <f>D145/C145*100</f>
        <v>57.08333333333334</v>
      </c>
      <c r="H145" s="90">
        <f t="shared" si="14"/>
        <v>2.299999999999997</v>
      </c>
      <c r="I145" s="90">
        <f t="shared" si="15"/>
        <v>20.599999999999994</v>
      </c>
    </row>
    <row r="146" spans="1:9" s="96" customFormat="1" ht="33.75" customHeight="1">
      <c r="A146" s="142" t="s">
        <v>54</v>
      </c>
      <c r="B146" s="146">
        <v>961</v>
      </c>
      <c r="C146" s="93">
        <v>961</v>
      </c>
      <c r="D146" s="94">
        <f>563+398</f>
        <v>961</v>
      </c>
      <c r="E146" s="95">
        <f>D146/D109*100</f>
        <v>0.24705181844246932</v>
      </c>
      <c r="F146" s="85">
        <f t="shared" si="16"/>
        <v>100</v>
      </c>
      <c r="G146" s="85">
        <f t="shared" si="13"/>
        <v>100</v>
      </c>
      <c r="H146" s="86">
        <f t="shared" si="14"/>
        <v>0</v>
      </c>
      <c r="I146" s="86">
        <f t="shared" si="15"/>
        <v>0</v>
      </c>
    </row>
    <row r="147" spans="1:9" s="96" customFormat="1" ht="18.75" hidden="1">
      <c r="A147" s="142" t="s">
        <v>90</v>
      </c>
      <c r="B147" s="146"/>
      <c r="C147" s="93"/>
      <c r="D147" s="94"/>
      <c r="E147" s="95">
        <f>D147/D109*100</f>
        <v>0</v>
      </c>
      <c r="F147" s="85" t="e">
        <f>D147/B147*100</f>
        <v>#DIV/0!</v>
      </c>
      <c r="G147" s="85" t="e">
        <f t="shared" si="13"/>
        <v>#DIV/0!</v>
      </c>
      <c r="H147" s="86">
        <f t="shared" si="14"/>
        <v>0</v>
      </c>
      <c r="I147" s="86">
        <f t="shared" si="15"/>
        <v>0</v>
      </c>
    </row>
    <row r="148" spans="1:9" s="96" customFormat="1" ht="19.5" customHeight="1">
      <c r="A148" s="142" t="s">
        <v>95</v>
      </c>
      <c r="B148" s="155">
        <f>131836.8-1348</f>
        <v>130488.79999999999</v>
      </c>
      <c r="C148" s="93">
        <f>148561.8-115.4-1283.5</f>
        <v>147162.9</v>
      </c>
      <c r="D148" s="94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+381.3+1551.1+4423+1571.7+1230.2+4995.4+3243.3+12.3+185.1+1701.9+0.2+419.6+1476.3+1580.8+455.5+5800.7+199+1072.5+49.4+786.8+11+895.3</f>
        <v>126498.40000000001</v>
      </c>
      <c r="E148" s="95">
        <f>D148/D109*100</f>
        <v>32.51993730495615</v>
      </c>
      <c r="F148" s="85">
        <f t="shared" si="16"/>
        <v>96.94195976972738</v>
      </c>
      <c r="G148" s="85">
        <f t="shared" si="13"/>
        <v>85.95807774921533</v>
      </c>
      <c r="H148" s="86">
        <f t="shared" si="14"/>
        <v>3990.3999999999796</v>
      </c>
      <c r="I148" s="86">
        <f t="shared" si="15"/>
        <v>20664.499999999985</v>
      </c>
    </row>
    <row r="149" spans="1:9" s="96" customFormat="1" ht="18.75" hidden="1">
      <c r="A149" s="142" t="s">
        <v>84</v>
      </c>
      <c r="B149" s="155"/>
      <c r="C149" s="93"/>
      <c r="D149" s="94"/>
      <c r="E149" s="95">
        <f>D149/D109*100</f>
        <v>0</v>
      </c>
      <c r="F149" s="85" t="e">
        <f t="shared" si="16"/>
        <v>#DIV/0!</v>
      </c>
      <c r="G149" s="85" t="e">
        <f t="shared" si="13"/>
        <v>#DIV/0!</v>
      </c>
      <c r="H149" s="86">
        <f t="shared" si="14"/>
        <v>0</v>
      </c>
      <c r="I149" s="86">
        <f t="shared" si="15"/>
        <v>0</v>
      </c>
    </row>
    <row r="150" spans="1:9" s="96" customFormat="1" ht="18.75">
      <c r="A150" s="142" t="s">
        <v>108</v>
      </c>
      <c r="B150" s="155">
        <v>34</v>
      </c>
      <c r="C150" s="93">
        <v>50</v>
      </c>
      <c r="D150" s="94">
        <f>1+0.7+0.3+0.3+0.3+0.3</f>
        <v>2.8999999999999995</v>
      </c>
      <c r="E150" s="95">
        <f>D150/D111*100</f>
        <v>0.3850750232372858</v>
      </c>
      <c r="F150" s="85">
        <f>D150/B150*100</f>
        <v>8.52941176470588</v>
      </c>
      <c r="G150" s="85">
        <f>D150/C150*100</f>
        <v>5.799999999999999</v>
      </c>
      <c r="H150" s="86">
        <f>B150-D150</f>
        <v>31.1</v>
      </c>
      <c r="I150" s="86">
        <f>C150-D150</f>
        <v>47.1</v>
      </c>
    </row>
    <row r="151" spans="1:9" s="96" customFormat="1" ht="18.75">
      <c r="A151" s="145" t="s">
        <v>96</v>
      </c>
      <c r="B151" s="155">
        <v>55.3</v>
      </c>
      <c r="C151" s="93">
        <v>93.9</v>
      </c>
      <c r="D151" s="94">
        <f>29.5+25.8</f>
        <v>55.3</v>
      </c>
      <c r="E151" s="95">
        <f>D151/D109*100</f>
        <v>0.014216405369270085</v>
      </c>
      <c r="F151" s="85">
        <f t="shared" si="16"/>
        <v>100</v>
      </c>
      <c r="G151" s="85">
        <f t="shared" si="13"/>
        <v>58.89243876464323</v>
      </c>
      <c r="H151" s="86">
        <f t="shared" si="14"/>
        <v>0</v>
      </c>
      <c r="I151" s="86">
        <f t="shared" si="15"/>
        <v>38.60000000000001</v>
      </c>
    </row>
    <row r="152" spans="1:9" s="96" customFormat="1" ht="18" customHeight="1">
      <c r="A152" s="145" t="s">
        <v>75</v>
      </c>
      <c r="B152" s="155">
        <f>11245.6-1300</f>
        <v>9945.6</v>
      </c>
      <c r="C152" s="93">
        <f>509.5+13731.5</f>
        <v>14241</v>
      </c>
      <c r="D152" s="94">
        <f>469.6+898.6+871.8+55+430.7+600.4+36+430.7-0.1+542+60.6+1510.5+423.8+77.7+719.5+23.4+379.6+98.9+504+871.8+627.7+0.1+17.7+73.7</f>
        <v>9723.700000000003</v>
      </c>
      <c r="E152" s="95">
        <f>D152/D109*100</f>
        <v>2.4997479365130486</v>
      </c>
      <c r="F152" s="85">
        <f t="shared" si="16"/>
        <v>97.76886261261264</v>
      </c>
      <c r="G152" s="85">
        <f t="shared" si="13"/>
        <v>68.27961519556213</v>
      </c>
      <c r="H152" s="86">
        <f t="shared" si="14"/>
        <v>221.89999999999782</v>
      </c>
      <c r="I152" s="86">
        <f t="shared" si="15"/>
        <v>4517.299999999997</v>
      </c>
    </row>
    <row r="153" spans="1:9" s="96" customFormat="1" ht="19.5" customHeight="1">
      <c r="A153" s="145" t="s">
        <v>48</v>
      </c>
      <c r="B153" s="146">
        <f>178130+5472.4+1300+431.4</f>
        <v>185333.8</v>
      </c>
      <c r="C153" s="93">
        <f>365455.9+155.1+4856-2795.8+8042.5-6175</f>
        <v>369538.7</v>
      </c>
      <c r="D153" s="94">
        <f>9702+30405.7+10266.3+91.6-29196.2+1482.1+9293.3+20631.5+2864.5+2072.8+10611.8+26.4-6447.8-3782.8-4677.3+4676.1-2746.7-2356.3-5820.8+6091.9+14434.9+3293.3-2161.9+2161.9+253+3208.6+2572.08517+1407.2+10069.6+3344.4+6615+376.8-14608.8+14620.5+18523+1876.7-4752.8-1622.1+226.9+16206.8-8028.9+5174.6+2737.1-2082.9+528.3+1434.8+168.7+5345.3+46084-5693.5+200.6+1784.9+262.9+230+1186.5+5036.8+1300+428.7</f>
        <v>185331.08516999998</v>
      </c>
      <c r="E153" s="95">
        <f>D153/D109*100</f>
        <v>47.644517799338864</v>
      </c>
      <c r="F153" s="85">
        <f t="shared" si="16"/>
        <v>99.99853516735749</v>
      </c>
      <c r="G153" s="85">
        <f t="shared" si="13"/>
        <v>50.152009835505716</v>
      </c>
      <c r="H153" s="86">
        <f t="shared" si="14"/>
        <v>2.714830000011716</v>
      </c>
      <c r="I153" s="86">
        <f>C153-D153</f>
        <v>184207.61483000003</v>
      </c>
    </row>
    <row r="154" spans="1:9" s="96" customFormat="1" ht="18.75">
      <c r="A154" s="145" t="s">
        <v>97</v>
      </c>
      <c r="B154" s="146">
        <f>39622.8+5660.4</f>
        <v>45283.200000000004</v>
      </c>
      <c r="C154" s="93">
        <v>67925</v>
      </c>
      <c r="D154" s="94">
        <f>1886.8+1886.8+1886.8+1886.8+1886.8+1886.8+1886.8+1886.8+1886.8+1886.8+1886.8+1886.8+1886.8+1886.8+1886.8+1886.8+1886.8+1886.8+1886.8+1886.8+1886.8+1886.8+1886.8</f>
        <v>43396.40000000001</v>
      </c>
      <c r="E154" s="95">
        <f>D154/D109*100</f>
        <v>11.156253417124638</v>
      </c>
      <c r="F154" s="85">
        <f t="shared" si="16"/>
        <v>95.83333333333334</v>
      </c>
      <c r="G154" s="85">
        <f t="shared" si="13"/>
        <v>63.888700772911314</v>
      </c>
      <c r="H154" s="86">
        <f t="shared" si="14"/>
        <v>1886.7999999999956</v>
      </c>
      <c r="I154" s="86">
        <f t="shared" si="15"/>
        <v>24528.59999999999</v>
      </c>
    </row>
    <row r="155" spans="1:9" s="2" customFormat="1" ht="19.5" thickBot="1">
      <c r="A155" s="26" t="s">
        <v>27</v>
      </c>
      <c r="B155" s="125"/>
      <c r="C155" s="58"/>
      <c r="D155" s="40">
        <f>D43+D70+D74+D79+D81+D89+D104+D109+D102+D86+D100</f>
        <v>431961.51979000005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1653313.0999999999</v>
      </c>
      <c r="C156" s="36">
        <f>C6+C18+C33+C43+C52+C60+C70+C74+C79+C81+C89+C92+C97+C104+C109+C102+C86+C100+C46</f>
        <v>2507982.6</v>
      </c>
      <c r="D156" s="36">
        <f>D6+D18+D33+D43+D52+D60+D70+D74+D79+D81+D89+D92+D97+D104+D109+D102+D86+D100+D46</f>
        <v>1543306.3567899999</v>
      </c>
      <c r="E156" s="25">
        <v>100</v>
      </c>
      <c r="F156" s="3">
        <f>D156/B156*100</f>
        <v>93.34628491058349</v>
      </c>
      <c r="G156" s="3">
        <f aca="true" t="shared" si="17" ref="G156:G162">D156/C156*100</f>
        <v>61.5357681026176</v>
      </c>
      <c r="H156" s="36">
        <f>B156-D156</f>
        <v>110006.74320999999</v>
      </c>
      <c r="I156" s="36">
        <f aca="true" t="shared" si="18" ref="I156:I162">C156-D156</f>
        <v>964676.2432100002</v>
      </c>
      <c r="K156" s="129">
        <f>D156-114199.9-202905.8-214631.3-204053.8-222765.5+11.7-231911.7-174259.3</f>
        <v>178590.75678999978</v>
      </c>
    </row>
    <row r="157" spans="1:9" ht="18.75">
      <c r="A157" s="15" t="s">
        <v>5</v>
      </c>
      <c r="B157" s="47">
        <f>B8+B20+B34+B53+B61+B93+B117+B122+B47+B144+B135+B105</f>
        <v>690229.1999999998</v>
      </c>
      <c r="C157" s="47">
        <f>C8+C20+C34+C53+C61+C93+C117+C122+C47+C144+C135+C105</f>
        <v>995482.1</v>
      </c>
      <c r="D157" s="47">
        <f>D8+D20+D34+D53+D61+D93+D117+D122+D47+D144+D135+D105</f>
        <v>652444.2000000001</v>
      </c>
      <c r="E157" s="6">
        <f>D157/D156*100</f>
        <v>42.275741114489506</v>
      </c>
      <c r="F157" s="6">
        <f aca="true" t="shared" si="19" ref="F157:F162">D157/B157*100</f>
        <v>94.5257314526827</v>
      </c>
      <c r="G157" s="6">
        <f t="shared" si="17"/>
        <v>65.5405255403387</v>
      </c>
      <c r="H157" s="48">
        <f aca="true" t="shared" si="20" ref="H157:H162">B157-D157</f>
        <v>37784.99999999977</v>
      </c>
      <c r="I157" s="57">
        <f t="shared" si="18"/>
        <v>343037.8999999999</v>
      </c>
    </row>
    <row r="158" spans="1:9" ht="18.75">
      <c r="A158" s="15" t="s">
        <v>0</v>
      </c>
      <c r="B158" s="86">
        <f>B11+B23+B36+B56+B63+B94+B50+B145+B111+B114+B98+B142+B131</f>
        <v>76169.6</v>
      </c>
      <c r="C158" s="86">
        <f>C11+C23+C36+C56+C63+C94+C50+C145+C111+C114+C98+C142+C131</f>
        <v>125217.3</v>
      </c>
      <c r="D158" s="86">
        <f>D11+D23+D36+D56+D63+D94+D50+D145+D111+D114+D98+D142+D131</f>
        <v>64340.19999999996</v>
      </c>
      <c r="E158" s="6">
        <f>D158/D156*100</f>
        <v>4.16898431843593</v>
      </c>
      <c r="F158" s="6">
        <f t="shared" si="19"/>
        <v>84.46965718606893</v>
      </c>
      <c r="G158" s="6">
        <f t="shared" si="17"/>
        <v>51.382836077762384</v>
      </c>
      <c r="H158" s="48">
        <f>B158-D158</f>
        <v>11829.400000000045</v>
      </c>
      <c r="I158" s="57">
        <f t="shared" si="18"/>
        <v>60877.10000000004</v>
      </c>
    </row>
    <row r="159" spans="1:9" ht="18.75">
      <c r="A159" s="15" t="s">
        <v>1</v>
      </c>
      <c r="B159" s="135">
        <f>B22+B10+B55+B49+B62+B35+B126</f>
        <v>31733.300000000003</v>
      </c>
      <c r="C159" s="135">
        <f>C22+C10+C55+C49+C62+C35+C126</f>
        <v>48087.700000000004</v>
      </c>
      <c r="D159" s="135">
        <f>D22+D10+D55+D49+D62+D35+D126</f>
        <v>28351.800000000003</v>
      </c>
      <c r="E159" s="6">
        <f>D159/D156*100</f>
        <v>1.8370817871164822</v>
      </c>
      <c r="F159" s="6">
        <f t="shared" si="19"/>
        <v>89.3440014117662</v>
      </c>
      <c r="G159" s="6">
        <f t="shared" si="17"/>
        <v>58.95852785639571</v>
      </c>
      <c r="H159" s="48">
        <f t="shared" si="20"/>
        <v>3381.5</v>
      </c>
      <c r="I159" s="57">
        <f t="shared" si="18"/>
        <v>19735.9</v>
      </c>
    </row>
    <row r="160" spans="1:9" ht="21" customHeight="1">
      <c r="A160" s="15" t="s">
        <v>12</v>
      </c>
      <c r="B160" s="135">
        <f>B12+B24+B106+B64+B38+B95+B133+B57+B140+B120+B44+B73</f>
        <v>60011.99999999999</v>
      </c>
      <c r="C160" s="135">
        <f>C12+C24+C106+C64+C38+C95+C133+C57+C140+C120+C44+C73</f>
        <v>87421.40000000002</v>
      </c>
      <c r="D160" s="135">
        <f>D12+D24+D106+D64+D38+D95+D133+D57+D140+D120+D44+D73</f>
        <v>51462.86000000001</v>
      </c>
      <c r="E160" s="6">
        <f>D160/D156*100</f>
        <v>3.3345848524229624</v>
      </c>
      <c r="F160" s="6">
        <f>D160/B160*100</f>
        <v>85.75428247683799</v>
      </c>
      <c r="G160" s="6">
        <f t="shared" si="17"/>
        <v>58.867577046352494</v>
      </c>
      <c r="H160" s="48">
        <f>B160-D160</f>
        <v>8549.139999999985</v>
      </c>
      <c r="I160" s="57">
        <f t="shared" si="18"/>
        <v>35958.540000000015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38.49999999999999</v>
      </c>
      <c r="E161" s="6">
        <f>D161/D156*100</f>
        <v>0.0024946440368507307</v>
      </c>
      <c r="F161" s="6">
        <f t="shared" si="19"/>
        <v>73.19391634980987</v>
      </c>
      <c r="G161" s="6">
        <f t="shared" si="17"/>
        <v>31.326281529698935</v>
      </c>
      <c r="H161" s="48">
        <f t="shared" si="20"/>
        <v>14.100000000000009</v>
      </c>
      <c r="I161" s="57">
        <f t="shared" si="18"/>
        <v>84.4</v>
      </c>
    </row>
    <row r="162" spans="1:9" ht="19.5" thickBot="1">
      <c r="A162" s="79" t="s">
        <v>25</v>
      </c>
      <c r="B162" s="59">
        <f>B156-B157-B158-B159-B160-B161</f>
        <v>795116.4</v>
      </c>
      <c r="C162" s="59">
        <f>C156-C157-C158-C159-C160-C161</f>
        <v>1251651.2000000002</v>
      </c>
      <c r="D162" s="59">
        <f>D156-D157-D158-D159-D160-D161</f>
        <v>746668.7967899998</v>
      </c>
      <c r="E162" s="28">
        <f>D162/D156*100</f>
        <v>48.381113283498266</v>
      </c>
      <c r="F162" s="28">
        <f t="shared" si="19"/>
        <v>93.90685398892536</v>
      </c>
      <c r="G162" s="28">
        <f t="shared" si="17"/>
        <v>59.65470226769245</v>
      </c>
      <c r="H162" s="80">
        <f t="shared" si="20"/>
        <v>48447.603210000205</v>
      </c>
      <c r="I162" s="80">
        <f t="shared" si="18"/>
        <v>504982.40321000037</v>
      </c>
    </row>
    <row r="163" spans="7:8" ht="12.75">
      <c r="G163" s="133"/>
      <c r="H163" s="133"/>
    </row>
    <row r="164" spans="3:9" ht="12.75">
      <c r="C164" s="129"/>
      <c r="G164" s="133"/>
      <c r="H164" s="133"/>
      <c r="I164" s="133"/>
    </row>
    <row r="165" spans="4:8" ht="12.75">
      <c r="D165" s="129"/>
      <c r="G165" s="133"/>
      <c r="H165" s="133"/>
    </row>
    <row r="166" spans="7:8" ht="12.75">
      <c r="G166" s="133"/>
      <c r="H166" s="133"/>
    </row>
    <row r="167" spans="2:8" ht="12.75">
      <c r="B167" s="134"/>
      <c r="C167" s="134"/>
      <c r="D167" s="129"/>
      <c r="G167" s="133"/>
      <c r="H167" s="133"/>
    </row>
    <row r="168" spans="7:8" ht="12.75">
      <c r="G168" s="133"/>
      <c r="H168" s="133"/>
    </row>
    <row r="169" spans="2:8" ht="12.75">
      <c r="B169" s="134"/>
      <c r="C169" s="134"/>
      <c r="D169" s="134"/>
      <c r="G169" s="133"/>
      <c r="H169" s="133"/>
    </row>
    <row r="170" spans="2:8" ht="12.75">
      <c r="B170" s="134"/>
      <c r="G170" s="133"/>
      <c r="H170" s="133"/>
    </row>
    <row r="171" spans="2:8" ht="12.75">
      <c r="B171" s="134"/>
      <c r="C171" s="129"/>
      <c r="G171" s="133"/>
      <c r="H171" s="133"/>
    </row>
    <row r="172" spans="7:8" ht="12.75">
      <c r="G172" s="133"/>
      <c r="H172" s="133"/>
    </row>
    <row r="173" spans="7:8" ht="12.75">
      <c r="G173" s="133"/>
      <c r="H173" s="133"/>
    </row>
    <row r="174" spans="7:8" ht="12.75">
      <c r="G174" s="133"/>
      <c r="H174" s="133"/>
    </row>
    <row r="175" spans="7:8" ht="12.75">
      <c r="G175" s="133"/>
      <c r="H175" s="133"/>
    </row>
    <row r="176" spans="7:8" ht="12.75">
      <c r="G176" s="133"/>
      <c r="H176" s="133"/>
    </row>
    <row r="177" spans="3:8" ht="12.75">
      <c r="C177" s="129"/>
      <c r="G177" s="133"/>
      <c r="H177" s="133"/>
    </row>
    <row r="178" spans="7:8" ht="12.75">
      <c r="G178" s="133"/>
      <c r="H178" s="133"/>
    </row>
    <row r="179" spans="7:8" ht="12.75">
      <c r="G179" s="133"/>
      <c r="H179" s="133"/>
    </row>
    <row r="180" spans="7:8" ht="12.75">
      <c r="G180" s="133"/>
      <c r="H180" s="133"/>
    </row>
    <row r="181" spans="7:8" ht="12.75">
      <c r="G181" s="133"/>
      <c r="H181" s="133"/>
    </row>
    <row r="182" spans="7:8" ht="12.75">
      <c r="G182" s="133"/>
      <c r="H182" s="133"/>
    </row>
    <row r="183" spans="7:8" ht="12.75">
      <c r="G183" s="133"/>
      <c r="H183" s="133"/>
    </row>
    <row r="184" spans="7:8" ht="12.75">
      <c r="G184" s="133"/>
      <c r="H184" s="133"/>
    </row>
    <row r="185" spans="7:8" ht="12.75">
      <c r="G185" s="133"/>
      <c r="H185" s="133"/>
    </row>
    <row r="186" spans="7:8" ht="12.75">
      <c r="G186" s="133"/>
      <c r="H186" s="133"/>
    </row>
    <row r="187" spans="7:8" ht="12.75">
      <c r="G187" s="133"/>
      <c r="H187" s="133"/>
    </row>
    <row r="188" spans="7:8" ht="12.75">
      <c r="G188" s="133"/>
      <c r="H188" s="133"/>
    </row>
    <row r="189" spans="7:8" ht="12.75">
      <c r="G189" s="133"/>
      <c r="H189" s="133"/>
    </row>
    <row r="190" spans="7:8" ht="12.75">
      <c r="G190" s="133"/>
      <c r="H190" s="133"/>
    </row>
    <row r="191" spans="7:8" ht="12.75">
      <c r="G191" s="133"/>
      <c r="H191" s="133"/>
    </row>
    <row r="192" spans="7:8" ht="12.75">
      <c r="G192" s="133"/>
      <c r="H192" s="133"/>
    </row>
    <row r="193" spans="7:8" ht="12.75">
      <c r="G193" s="133"/>
      <c r="H193" s="133"/>
    </row>
    <row r="194" spans="7:8" ht="12.75">
      <c r="G194" s="133"/>
      <c r="H194" s="133"/>
    </row>
    <row r="195" spans="7:8" ht="12.75">
      <c r="G195" s="133"/>
      <c r="H195" s="133"/>
    </row>
    <row r="196" spans="7:8" ht="12.75">
      <c r="G196" s="133"/>
      <c r="H196" s="133"/>
    </row>
    <row r="197" spans="7:8" ht="12.75">
      <c r="G197" s="133"/>
      <c r="H197" s="133"/>
    </row>
    <row r="198" spans="7:8" ht="12.75">
      <c r="G198" s="133"/>
      <c r="H198" s="133"/>
    </row>
    <row r="199" spans="7:8" ht="12.75">
      <c r="G199" s="133"/>
      <c r="H199" s="133"/>
    </row>
    <row r="200" spans="7:8" ht="12.75">
      <c r="G200" s="133"/>
      <c r="H200" s="133"/>
    </row>
    <row r="201" spans="7:8" ht="12.75">
      <c r="G201" s="133"/>
      <c r="H201" s="133"/>
    </row>
    <row r="202" spans="7:8" ht="12.75">
      <c r="G202" s="133"/>
      <c r="H202" s="133"/>
    </row>
    <row r="203" spans="7:8" ht="12.75">
      <c r="G203" s="133"/>
      <c r="H203" s="133"/>
    </row>
    <row r="204" spans="7:8" ht="12.75">
      <c r="G204" s="133"/>
      <c r="H204" s="133"/>
    </row>
    <row r="205" spans="7:8" ht="12.75">
      <c r="G205" s="133"/>
      <c r="H205" s="133"/>
    </row>
    <row r="206" spans="7:8" ht="12.75">
      <c r="G206" s="133"/>
      <c r="H206" s="133"/>
    </row>
    <row r="207" spans="7:8" ht="12.75">
      <c r="G207" s="133"/>
      <c r="H207" s="133"/>
    </row>
    <row r="208" spans="7:8" ht="12.75">
      <c r="G208" s="133"/>
      <c r="H208" s="133"/>
    </row>
    <row r="209" spans="7:8" ht="12.75">
      <c r="G209" s="133"/>
      <c r="H209" s="133"/>
    </row>
    <row r="210" spans="7:8" ht="12.75">
      <c r="G210" s="133"/>
      <c r="H210" s="133"/>
    </row>
    <row r="211" spans="7:8" ht="12.75">
      <c r="G211" s="133"/>
      <c r="H211" s="133"/>
    </row>
    <row r="212" spans="7:8" ht="12.75">
      <c r="G212" s="133"/>
      <c r="H212" s="133"/>
    </row>
    <row r="213" spans="7:8" ht="12.75">
      <c r="G213" s="133"/>
      <c r="H213" s="133"/>
    </row>
    <row r="214" spans="7:8" ht="12.75">
      <c r="G214" s="133"/>
      <c r="H214" s="133"/>
    </row>
    <row r="215" spans="7:8" ht="12.75">
      <c r="G215" s="133"/>
      <c r="H215" s="133"/>
    </row>
    <row r="216" spans="7:8" ht="12.75">
      <c r="G216" s="133"/>
      <c r="H216" s="133"/>
    </row>
    <row r="217" spans="7:8" ht="12.75">
      <c r="G217" s="133"/>
      <c r="H217" s="133"/>
    </row>
    <row r="218" spans="7:8" ht="12.75">
      <c r="G218" s="133"/>
      <c r="H218" s="133"/>
    </row>
    <row r="219" spans="7:8" ht="12.75">
      <c r="G219" s="133"/>
      <c r="H219" s="133"/>
    </row>
    <row r="220" spans="7:8" ht="12.75">
      <c r="G220" s="133"/>
      <c r="H220" s="133"/>
    </row>
    <row r="221" spans="7:8" ht="12.75">
      <c r="G221" s="133"/>
      <c r="H221" s="133"/>
    </row>
    <row r="222" spans="7:8" ht="12.75">
      <c r="G222" s="133"/>
      <c r="H222" s="133"/>
    </row>
    <row r="223" spans="7:8" ht="12.75">
      <c r="G223" s="133"/>
      <c r="H223" s="133"/>
    </row>
    <row r="224" spans="7:8" ht="12.75">
      <c r="G224" s="133"/>
      <c r="H224" s="133"/>
    </row>
    <row r="225" spans="7:8" ht="12.75">
      <c r="G225" s="133"/>
      <c r="H225" s="133"/>
    </row>
    <row r="226" spans="7:8" ht="12.75">
      <c r="G226" s="133"/>
      <c r="H226" s="133"/>
    </row>
    <row r="227" spans="7:8" ht="12.75">
      <c r="G227" s="133"/>
      <c r="H227" s="133"/>
    </row>
    <row r="228" spans="7:8" ht="12.75">
      <c r="G228" s="133"/>
      <c r="H228" s="133"/>
    </row>
    <row r="229" spans="7:8" ht="12.75">
      <c r="G229" s="133"/>
      <c r="H229" s="133"/>
    </row>
    <row r="230" spans="7:8" ht="12.75">
      <c r="G230" s="133"/>
      <c r="H230" s="133"/>
    </row>
    <row r="231" spans="7:8" ht="12.75">
      <c r="G231" s="133"/>
      <c r="H231" s="133"/>
    </row>
    <row r="232" spans="7:8" ht="12.75">
      <c r="G232" s="133"/>
      <c r="H232" s="133"/>
    </row>
    <row r="233" spans="7:8" ht="12.75">
      <c r="G233" s="133"/>
      <c r="H233" s="133"/>
    </row>
    <row r="234" spans="7:8" ht="12.75">
      <c r="G234" s="133"/>
      <c r="H234" s="133"/>
    </row>
    <row r="235" spans="7:8" ht="12.75">
      <c r="G235" s="133"/>
      <c r="H235" s="133"/>
    </row>
    <row r="236" spans="7:8" ht="12.75">
      <c r="G236" s="133"/>
      <c r="H236" s="133"/>
    </row>
    <row r="237" spans="7:8" ht="12.75">
      <c r="G237" s="133"/>
      <c r="H237" s="133"/>
    </row>
    <row r="238" spans="7:8" ht="12.75">
      <c r="G238" s="133"/>
      <c r="H238" s="133"/>
    </row>
    <row r="239" spans="7:8" ht="12.75">
      <c r="G239" s="133"/>
      <c r="H239" s="133"/>
    </row>
    <row r="240" spans="7:8" ht="12.75">
      <c r="G240" s="133"/>
      <c r="H240" s="133"/>
    </row>
    <row r="241" spans="7:8" ht="12.75">
      <c r="G241" s="133"/>
      <c r="H241" s="133"/>
    </row>
    <row r="242" spans="7:8" ht="12.75">
      <c r="G242" s="133"/>
      <c r="H242" s="133"/>
    </row>
    <row r="243" spans="7:8" ht="12.75">
      <c r="G243" s="133"/>
      <c r="H243" s="133"/>
    </row>
    <row r="244" spans="7:8" ht="12.75">
      <c r="G244" s="133"/>
      <c r="H244" s="133"/>
    </row>
    <row r="245" spans="7:8" ht="12.75">
      <c r="G245" s="133"/>
      <c r="H245" s="133"/>
    </row>
    <row r="246" spans="7:8" ht="12.75">
      <c r="G246" s="133"/>
      <c r="H246" s="133"/>
    </row>
    <row r="247" spans="7:8" ht="12.75">
      <c r="G247" s="133"/>
      <c r="H247" s="133"/>
    </row>
    <row r="248" spans="7:8" ht="12.75">
      <c r="G248" s="133"/>
      <c r="H248" s="133"/>
    </row>
    <row r="249" spans="7:8" ht="12.75">
      <c r="G249" s="133"/>
      <c r="H249" s="133"/>
    </row>
    <row r="250" spans="7:8" ht="12.75">
      <c r="G250" s="133"/>
      <c r="H250" s="133"/>
    </row>
    <row r="251" spans="7:8" ht="12.75">
      <c r="G251" s="133"/>
      <c r="H251" s="133"/>
    </row>
    <row r="252" spans="7:8" ht="12.75">
      <c r="G252" s="133"/>
      <c r="H252" s="133"/>
    </row>
    <row r="253" spans="7:8" ht="12.75">
      <c r="G253" s="133"/>
      <c r="H253" s="133"/>
    </row>
    <row r="254" spans="7:8" ht="12.75">
      <c r="G254" s="133"/>
      <c r="H254" s="133"/>
    </row>
    <row r="255" spans="7:8" ht="12.75">
      <c r="G255" s="133"/>
      <c r="H255" s="133"/>
    </row>
    <row r="256" spans="7:8" ht="12.75">
      <c r="G256" s="133"/>
      <c r="H256" s="133"/>
    </row>
    <row r="257" spans="7:8" ht="12.75">
      <c r="G257" s="133"/>
      <c r="H257" s="133"/>
    </row>
    <row r="258" spans="7:8" ht="12.75">
      <c r="G258" s="133"/>
      <c r="H258" s="133"/>
    </row>
    <row r="259" spans="7:8" ht="12.75">
      <c r="G259" s="133"/>
      <c r="H259" s="133"/>
    </row>
    <row r="260" spans="7:8" ht="12.75">
      <c r="G260" s="133"/>
      <c r="H260" s="133"/>
    </row>
    <row r="261" spans="7:8" ht="12.75">
      <c r="G261" s="133"/>
      <c r="H261" s="133"/>
    </row>
    <row r="262" spans="7:8" ht="12.75">
      <c r="G262" s="133"/>
      <c r="H262" s="133"/>
    </row>
    <row r="263" spans="7:8" ht="12.75">
      <c r="G263" s="133"/>
      <c r="H263" s="133"/>
    </row>
    <row r="264" spans="7:8" ht="12.75">
      <c r="G264" s="133"/>
      <c r="H264" s="133"/>
    </row>
    <row r="265" spans="7:8" ht="12.75">
      <c r="G265" s="133"/>
      <c r="H265" s="133"/>
    </row>
    <row r="266" spans="7:8" ht="12.75">
      <c r="G266" s="133"/>
      <c r="H266" s="133"/>
    </row>
    <row r="267" spans="7:8" ht="12.75">
      <c r="G267" s="133"/>
      <c r="H267" s="133"/>
    </row>
    <row r="268" spans="7:8" ht="12.75">
      <c r="G268" s="133"/>
      <c r="H268" s="133"/>
    </row>
    <row r="269" spans="7:8" ht="12.75">
      <c r="G269" s="133"/>
      <c r="H269" s="133"/>
    </row>
    <row r="270" spans="7:8" ht="12.75">
      <c r="G270" s="133"/>
      <c r="H270" s="133"/>
    </row>
    <row r="271" spans="7:8" ht="12.75">
      <c r="G271" s="133"/>
      <c r="H271" s="133"/>
    </row>
    <row r="272" spans="7:8" ht="12.75">
      <c r="G272" s="133"/>
      <c r="H272" s="133"/>
    </row>
    <row r="273" spans="7:8" ht="12.75">
      <c r="G273" s="133"/>
      <c r="H273" s="133"/>
    </row>
    <row r="274" spans="7:8" ht="12.75">
      <c r="G274" s="133"/>
      <c r="H274" s="133"/>
    </row>
    <row r="275" spans="7:8" ht="12.75">
      <c r="G275" s="133"/>
      <c r="H275" s="133"/>
    </row>
    <row r="276" spans="7:8" ht="12.75">
      <c r="G276" s="133"/>
      <c r="H276" s="133"/>
    </row>
    <row r="277" spans="7:8" ht="12.75">
      <c r="G277" s="133"/>
      <c r="H277" s="133"/>
    </row>
    <row r="278" spans="7:8" ht="12.75">
      <c r="G278" s="133"/>
      <c r="H278" s="133"/>
    </row>
    <row r="279" spans="7:8" ht="12.75">
      <c r="G279" s="133"/>
      <c r="H279" s="133"/>
    </row>
    <row r="280" spans="7:8" ht="12.75">
      <c r="G280" s="133"/>
      <c r="H280" s="133"/>
    </row>
    <row r="281" spans="7:8" ht="12.75">
      <c r="G281" s="133"/>
      <c r="H281" s="133"/>
    </row>
    <row r="282" spans="7:8" ht="12.75">
      <c r="G282" s="133"/>
      <c r="H282" s="133"/>
    </row>
    <row r="283" spans="7:8" ht="12.75">
      <c r="G283" s="133"/>
      <c r="H283" s="133"/>
    </row>
    <row r="284" spans="7:8" ht="12.75">
      <c r="G284" s="133"/>
      <c r="H284" s="133"/>
    </row>
    <row r="285" spans="7:8" ht="12.75">
      <c r="G285" s="133"/>
      <c r="H285" s="133"/>
    </row>
    <row r="286" spans="7:8" ht="12.75">
      <c r="G286" s="133"/>
      <c r="H286" s="133"/>
    </row>
    <row r="287" spans="7:8" ht="12.75">
      <c r="G287" s="133"/>
      <c r="H287" s="133"/>
    </row>
    <row r="288" spans="7:8" ht="12.75">
      <c r="G288" s="133"/>
      <c r="H288" s="133"/>
    </row>
    <row r="289" spans="7:8" ht="12.75">
      <c r="G289" s="133"/>
      <c r="H289" s="133"/>
    </row>
    <row r="290" spans="7:8" ht="12.75">
      <c r="G290" s="133"/>
      <c r="H290" s="133"/>
    </row>
    <row r="291" spans="7:8" ht="12.75">
      <c r="G291" s="133"/>
      <c r="H291" s="133"/>
    </row>
    <row r="292" spans="7:8" ht="12.75">
      <c r="G292" s="133"/>
      <c r="H292" s="133"/>
    </row>
    <row r="293" spans="7:8" ht="12.75">
      <c r="G293" s="133"/>
      <c r="H293" s="133"/>
    </row>
    <row r="294" spans="7:8" ht="12.75">
      <c r="G294" s="133"/>
      <c r="H294" s="133"/>
    </row>
    <row r="295" spans="7:8" ht="12.75">
      <c r="G295" s="133"/>
      <c r="H295" s="133"/>
    </row>
    <row r="296" spans="7:8" ht="12.75">
      <c r="G296" s="133"/>
      <c r="H296" s="133"/>
    </row>
    <row r="297" spans="7:8" ht="12.75">
      <c r="G297" s="133"/>
      <c r="H297" s="133"/>
    </row>
    <row r="298" spans="7:8" ht="12.75">
      <c r="G298" s="133"/>
      <c r="H298" s="133"/>
    </row>
    <row r="299" spans="7:8" ht="12.75">
      <c r="G299" s="133"/>
      <c r="H299" s="133"/>
    </row>
    <row r="300" spans="7:8" ht="12.75">
      <c r="G300" s="133"/>
      <c r="H300" s="133"/>
    </row>
    <row r="301" spans="7:8" ht="12.75">
      <c r="G301" s="133"/>
      <c r="H301" s="133"/>
    </row>
    <row r="302" spans="7:8" ht="12.75">
      <c r="G302" s="133"/>
      <c r="H302" s="133"/>
    </row>
    <row r="303" spans="7:8" ht="12.75">
      <c r="G303" s="133"/>
      <c r="H303" s="133"/>
    </row>
    <row r="304" spans="7:8" ht="12.75">
      <c r="G304" s="133"/>
      <c r="H304" s="133"/>
    </row>
    <row r="305" spans="7:8" ht="12.75">
      <c r="G305" s="133"/>
      <c r="H305" s="133"/>
    </row>
    <row r="306" spans="7:8" ht="12.75">
      <c r="G306" s="133"/>
      <c r="H306" s="133"/>
    </row>
    <row r="307" spans="7:8" ht="12.75">
      <c r="G307" s="133"/>
      <c r="H307" s="133"/>
    </row>
    <row r="308" spans="7:8" ht="12.75">
      <c r="G308" s="133"/>
      <c r="H308" s="133"/>
    </row>
    <row r="309" spans="7:8" ht="12.75">
      <c r="G309" s="133"/>
      <c r="H309" s="133"/>
    </row>
    <row r="310" spans="7:8" ht="12.75">
      <c r="G310" s="133"/>
      <c r="H310" s="133"/>
    </row>
    <row r="311" spans="7:8" ht="12.75">
      <c r="G311" s="133"/>
      <c r="H311" s="133"/>
    </row>
    <row r="312" spans="7:8" ht="12.75">
      <c r="G312" s="133"/>
      <c r="H312" s="133"/>
    </row>
    <row r="313" spans="7:8" ht="12.75">
      <c r="G313" s="133"/>
      <c r="H313" s="133"/>
    </row>
    <row r="314" spans="7:8" ht="12.75">
      <c r="G314" s="133"/>
      <c r="H314" s="133"/>
    </row>
    <row r="315" spans="7:8" ht="12.75">
      <c r="G315" s="133"/>
      <c r="H315" s="133"/>
    </row>
    <row r="316" spans="7:8" ht="12.75">
      <c r="G316" s="133"/>
      <c r="H316" s="133"/>
    </row>
    <row r="317" spans="7:8" ht="12.75">
      <c r="G317" s="133"/>
      <c r="H317" s="133"/>
    </row>
    <row r="318" spans="7:8" ht="12.75">
      <c r="G318" s="133"/>
      <c r="H318" s="133"/>
    </row>
    <row r="319" spans="7:8" ht="12.75">
      <c r="G319" s="133"/>
      <c r="H319" s="133"/>
    </row>
    <row r="320" spans="7:8" ht="12.75">
      <c r="G320" s="133"/>
      <c r="H320" s="133"/>
    </row>
    <row r="321" spans="7:8" ht="12.75">
      <c r="G321" s="133"/>
      <c r="H321" s="133"/>
    </row>
    <row r="322" spans="7:8" ht="12.75">
      <c r="G322" s="133"/>
      <c r="H322" s="133"/>
    </row>
    <row r="323" spans="7:8" ht="12.75">
      <c r="G323" s="133"/>
      <c r="H323" s="133"/>
    </row>
    <row r="324" spans="7:8" ht="12.75">
      <c r="G324" s="133"/>
      <c r="H324" s="133"/>
    </row>
    <row r="325" spans="7:8" ht="12.75">
      <c r="G325" s="133"/>
      <c r="H325" s="133"/>
    </row>
    <row r="326" spans="7:8" ht="12.75">
      <c r="G326" s="133"/>
      <c r="H326" s="133"/>
    </row>
    <row r="327" spans="7:8" ht="12.75">
      <c r="G327" s="133"/>
      <c r="H327" s="133"/>
    </row>
    <row r="328" spans="7:8" ht="12.75">
      <c r="G328" s="133"/>
      <c r="H328" s="133"/>
    </row>
    <row r="329" spans="7:8" ht="12.75">
      <c r="G329" s="133"/>
      <c r="H329" s="133"/>
    </row>
    <row r="330" spans="7:8" ht="12.75">
      <c r="G330" s="133"/>
      <c r="H330" s="133"/>
    </row>
    <row r="331" spans="7:8" ht="12.75">
      <c r="G331" s="133"/>
      <c r="H331" s="133"/>
    </row>
    <row r="332" spans="7:8" ht="12.75">
      <c r="G332" s="133"/>
      <c r="H332" s="133"/>
    </row>
    <row r="333" spans="7:8" ht="12.75">
      <c r="G333" s="133"/>
      <c r="H333" s="133"/>
    </row>
    <row r="334" spans="7:8" ht="12.75">
      <c r="G334" s="133"/>
      <c r="H334" s="133"/>
    </row>
    <row r="335" spans="7:8" ht="12.75">
      <c r="G335" s="133"/>
      <c r="H335" s="133"/>
    </row>
    <row r="336" spans="7:8" ht="12.75">
      <c r="G336" s="133"/>
      <c r="H336" s="133"/>
    </row>
    <row r="337" spans="7:8" ht="12.75">
      <c r="G337" s="133"/>
      <c r="H337" s="133"/>
    </row>
    <row r="338" spans="7:8" ht="12.75">
      <c r="G338" s="133"/>
      <c r="H338" s="133"/>
    </row>
    <row r="339" spans="7:8" ht="12.75">
      <c r="G339" s="133"/>
      <c r="H339" s="133"/>
    </row>
    <row r="340" spans="7:8" ht="12.75">
      <c r="G340" s="133"/>
      <c r="H340" s="133"/>
    </row>
    <row r="341" spans="7:8" ht="12.75">
      <c r="G341" s="133"/>
      <c r="H341" s="133"/>
    </row>
    <row r="342" spans="7:8" ht="12.75">
      <c r="G342" s="133"/>
      <c r="H342" s="133"/>
    </row>
    <row r="343" spans="7:8" ht="12.75">
      <c r="G343" s="133"/>
      <c r="H343" s="133"/>
    </row>
    <row r="344" spans="7:8" ht="12.75">
      <c r="G344" s="133"/>
      <c r="H344" s="133"/>
    </row>
    <row r="345" spans="7:8" ht="12.75">
      <c r="G345" s="133"/>
      <c r="H345" s="133"/>
    </row>
    <row r="346" spans="7:8" ht="12.75">
      <c r="G346" s="133"/>
      <c r="H346" s="133"/>
    </row>
    <row r="347" spans="7:8" ht="12.75">
      <c r="G347" s="133"/>
      <c r="H347" s="133"/>
    </row>
    <row r="348" spans="7:8" ht="12.75">
      <c r="G348" s="133"/>
      <c r="H348" s="133"/>
    </row>
    <row r="349" spans="7:8" ht="12.75">
      <c r="G349" s="133"/>
      <c r="H349" s="133"/>
    </row>
    <row r="350" spans="7:8" ht="12.75">
      <c r="G350" s="133"/>
      <c r="H350" s="133"/>
    </row>
    <row r="351" spans="7:8" ht="12.75">
      <c r="G351" s="133"/>
      <c r="H351" s="133"/>
    </row>
    <row r="352" spans="7:8" ht="12.75">
      <c r="G352" s="133"/>
      <c r="H352" s="133"/>
    </row>
    <row r="353" spans="7:8" ht="12.75">
      <c r="G353" s="133"/>
      <c r="H353" s="133"/>
    </row>
    <row r="354" spans="7:8" ht="12.75">
      <c r="G354" s="133"/>
      <c r="H354" s="133"/>
    </row>
    <row r="355" spans="7:8" ht="12.75">
      <c r="G355" s="133"/>
      <c r="H355" s="133"/>
    </row>
    <row r="356" spans="7:8" ht="12.75">
      <c r="G356" s="133"/>
      <c r="H356" s="133"/>
    </row>
    <row r="357" spans="7:8" ht="12.75">
      <c r="G357" s="133"/>
      <c r="H357" s="133"/>
    </row>
    <row r="358" spans="7:8" ht="12.75">
      <c r="G358" s="133"/>
      <c r="H358" s="133"/>
    </row>
    <row r="359" spans="7:8" ht="12.75">
      <c r="G359" s="133"/>
      <c r="H359" s="133"/>
    </row>
    <row r="360" spans="7:8" ht="12.75">
      <c r="G360" s="133"/>
      <c r="H360" s="133"/>
    </row>
    <row r="361" spans="7:8" ht="12.75">
      <c r="G361" s="133"/>
      <c r="H361" s="133"/>
    </row>
    <row r="362" spans="7:8" ht="12.75">
      <c r="G362" s="133"/>
      <c r="H362" s="133"/>
    </row>
    <row r="363" spans="7:8" ht="12.75">
      <c r="G363" s="133"/>
      <c r="H363" s="133"/>
    </row>
    <row r="364" spans="7:8" ht="12.75">
      <c r="G364" s="133"/>
      <c r="H364" s="133"/>
    </row>
    <row r="365" spans="7:8" ht="12.75">
      <c r="G365" s="133"/>
      <c r="H365" s="133"/>
    </row>
    <row r="366" spans="7:8" ht="12.75">
      <c r="G366" s="133"/>
      <c r="H366" s="133"/>
    </row>
    <row r="367" spans="7:8" ht="12.75">
      <c r="G367" s="133"/>
      <c r="H367" s="133"/>
    </row>
    <row r="368" spans="7:8" ht="12.75">
      <c r="G368" s="133"/>
      <c r="H368" s="133"/>
    </row>
    <row r="369" spans="7:8" ht="12.75">
      <c r="G369" s="133"/>
      <c r="H369" s="133"/>
    </row>
    <row r="370" spans="7:8" ht="12.75">
      <c r="G370" s="133"/>
      <c r="H370" s="133"/>
    </row>
    <row r="371" spans="7:8" ht="12.75">
      <c r="G371" s="133"/>
      <c r="H371" s="133"/>
    </row>
    <row r="372" spans="7:8" ht="12.75">
      <c r="G372" s="133"/>
      <c r="H372" s="133"/>
    </row>
    <row r="373" spans="7:8" ht="12.75">
      <c r="G373" s="133"/>
      <c r="H373" s="133"/>
    </row>
    <row r="374" spans="7:8" ht="12.75">
      <c r="G374" s="133"/>
      <c r="H374" s="133"/>
    </row>
    <row r="375" spans="7:8" ht="12.75">
      <c r="G375" s="133"/>
      <c r="H375" s="133"/>
    </row>
    <row r="376" spans="7:8" ht="12.75">
      <c r="G376" s="133"/>
      <c r="H376" s="133"/>
    </row>
    <row r="377" spans="7:8" ht="12.75">
      <c r="G377" s="133"/>
      <c r="H377" s="133"/>
    </row>
    <row r="378" spans="7:8" ht="12.75">
      <c r="G378" s="133"/>
      <c r="H378" s="133"/>
    </row>
    <row r="379" spans="7:8" ht="12.75">
      <c r="G379" s="133"/>
      <c r="H379" s="133"/>
    </row>
    <row r="380" spans="7:8" ht="12.75">
      <c r="G380" s="133"/>
      <c r="H380" s="133"/>
    </row>
    <row r="381" spans="7:8" ht="12.75">
      <c r="G381" s="133"/>
      <c r="H381" s="133"/>
    </row>
    <row r="382" spans="7:8" ht="12.75">
      <c r="G382" s="133"/>
      <c r="H382" s="133"/>
    </row>
    <row r="383" spans="7:8" ht="12.75">
      <c r="G383" s="133"/>
      <c r="H383" s="133"/>
    </row>
    <row r="384" spans="7:8" ht="12.75">
      <c r="G384" s="133"/>
      <c r="H384" s="133"/>
    </row>
    <row r="385" spans="7:8" ht="12.75">
      <c r="G385" s="133"/>
      <c r="H385" s="133"/>
    </row>
    <row r="386" spans="7:8" ht="12.75">
      <c r="G386" s="133"/>
      <c r="H386" s="133"/>
    </row>
    <row r="387" spans="7:8" ht="12.75">
      <c r="G387" s="133"/>
      <c r="H387" s="133"/>
    </row>
    <row r="388" spans="7:8" ht="12.75">
      <c r="G388" s="133"/>
      <c r="H388" s="133"/>
    </row>
    <row r="389" spans="7:8" ht="12.75">
      <c r="G389" s="133"/>
      <c r="H389" s="133"/>
    </row>
    <row r="390" spans="7:8" ht="12.75">
      <c r="G390" s="133"/>
      <c r="H390" s="133"/>
    </row>
    <row r="391" spans="7:8" ht="12.75">
      <c r="G391" s="133"/>
      <c r="H391" s="133"/>
    </row>
    <row r="392" spans="7:8" ht="12.75">
      <c r="G392" s="133"/>
      <c r="H392" s="133"/>
    </row>
    <row r="393" spans="7:8" ht="12.75">
      <c r="G393" s="133"/>
      <c r="H393" s="133"/>
    </row>
    <row r="394" spans="7:8" ht="12.75">
      <c r="G394" s="133"/>
      <c r="H394" s="133"/>
    </row>
    <row r="395" spans="7:8" ht="12.75">
      <c r="G395" s="133"/>
      <c r="H395" s="133"/>
    </row>
    <row r="396" spans="7:8" ht="12.75">
      <c r="G396" s="133"/>
      <c r="H396" s="133"/>
    </row>
    <row r="397" spans="7:8" ht="12.75">
      <c r="G397" s="133"/>
      <c r="H397" s="133"/>
    </row>
    <row r="398" spans="7:8" ht="12.75">
      <c r="G398" s="133"/>
      <c r="H398" s="133"/>
    </row>
    <row r="399" spans="7:8" ht="12.75">
      <c r="G399" s="133"/>
      <c r="H399" s="133"/>
    </row>
    <row r="400" spans="7:8" ht="12.75">
      <c r="G400" s="133"/>
      <c r="H400" s="133"/>
    </row>
    <row r="401" spans="7:8" ht="12.75">
      <c r="G401" s="133"/>
      <c r="H401" s="133"/>
    </row>
  </sheetData>
  <sheetProtection formatCells="0" formatColumns="0" formatRows="0" insertColumns="0" insertRows="0" insertHyperlinks="0" deleteColumns="0" deleteRows="0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1543306.3567899999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1543306.3567899999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2019-08-16T11:33:46Z</cp:lastPrinted>
  <dcterms:created xsi:type="dcterms:W3CDTF">2000-06-20T04:48:00Z</dcterms:created>
  <dcterms:modified xsi:type="dcterms:W3CDTF">2019-08-27T13:38:16Z</dcterms:modified>
  <cp:category/>
  <cp:version/>
  <cp:contentType/>
  <cp:contentStatus/>
</cp:coreProperties>
</file>